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 Rios Erco\Desktop\Curso EAFIT Diplomoado Solar\Modelos de Negocio y Evaluación Financiera\"/>
    </mc:Choice>
  </mc:AlternateContent>
  <xr:revisionPtr revIDLastSave="0" documentId="13_ncr:1_{CAA811F1-17AB-46AD-838A-ADAC14E12E54}" xr6:coauthVersionLast="45" xr6:coauthVersionMax="45" xr10:uidLastSave="{00000000-0000-0000-0000-000000000000}"/>
  <bookViews>
    <workbookView xWindow="-120" yWindow="-120" windowWidth="19560" windowHeight="11760" tabRatio="764" xr2:uid="{19302D4D-E30E-4500-8591-405E8D2ABF60}"/>
  </bookViews>
  <sheets>
    <sheet name="CAPEX" sheetId="12" r:id="rId1"/>
    <sheet name="Flujo de Caja Proyecto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8" l="1"/>
  <c r="G11" i="12" l="1"/>
  <c r="E6" i="12"/>
  <c r="G86" i="12" l="1"/>
  <c r="G85" i="12"/>
  <c r="G79" i="12"/>
  <c r="G78" i="12"/>
  <c r="G77" i="12" s="1"/>
  <c r="F77" i="12" s="1"/>
  <c r="G75" i="12"/>
  <c r="G74" i="12"/>
  <c r="G72" i="12" s="1"/>
  <c r="F72" i="12" s="1"/>
  <c r="G70" i="12"/>
  <c r="G69" i="12"/>
  <c r="G67" i="12" s="1"/>
  <c r="F67" i="12" s="1"/>
  <c r="G61" i="12"/>
  <c r="G60" i="12"/>
  <c r="G58" i="12" s="1"/>
  <c r="F58" i="12" s="1"/>
  <c r="G56" i="12"/>
  <c r="G55" i="12"/>
  <c r="G52" i="12"/>
  <c r="G51" i="12"/>
  <c r="G47" i="12"/>
  <c r="G46" i="12"/>
  <c r="G44" i="12" s="1"/>
  <c r="F44" i="12" s="1"/>
  <c r="E46" i="12"/>
  <c r="D42" i="12"/>
  <c r="G42" i="12" s="1"/>
  <c r="E41" i="12"/>
  <c r="D41" i="12"/>
  <c r="G37" i="12"/>
  <c r="E36" i="12"/>
  <c r="G36" i="12" s="1"/>
  <c r="G34" i="12" s="1"/>
  <c r="F34" i="12" s="1"/>
  <c r="G32" i="12"/>
  <c r="G31" i="12"/>
  <c r="D28" i="12"/>
  <c r="G28" i="12" s="1"/>
  <c r="G27" i="12"/>
  <c r="G25" i="12" s="1"/>
  <c r="F25" i="12" s="1"/>
  <c r="G23" i="12"/>
  <c r="G22" i="12"/>
  <c r="G20" i="12" s="1"/>
  <c r="F20" i="12" s="1"/>
  <c r="D18" i="12"/>
  <c r="G18" i="12" s="1"/>
  <c r="G17" i="12"/>
  <c r="G14" i="12" s="1"/>
  <c r="F14" i="12" s="1"/>
  <c r="G16" i="12"/>
  <c r="G12" i="12"/>
  <c r="D6" i="12"/>
  <c r="D7" i="12" l="1"/>
  <c r="G7" i="12" s="1"/>
  <c r="G82" i="12" s="1"/>
  <c r="G6" i="12"/>
  <c r="G4" i="12" s="1"/>
  <c r="F4" i="12" s="1"/>
  <c r="G9" i="12"/>
  <c r="F9" i="12" s="1"/>
  <c r="G49" i="12"/>
  <c r="F49" i="12" s="1"/>
  <c r="G41" i="12"/>
  <c r="G39" i="12" s="1"/>
  <c r="F39" i="12" s="1"/>
  <c r="F81" i="12" l="1"/>
  <c r="G81" i="12"/>
  <c r="E88" i="12" s="1"/>
  <c r="E90" i="12" s="1"/>
  <c r="G90" i="12" s="1"/>
  <c r="E83" i="12" l="1"/>
  <c r="G83" i="12" s="1"/>
  <c r="E87" i="12"/>
  <c r="E84" i="12"/>
  <c r="G84" i="12" s="1"/>
  <c r="G87" i="12" l="1"/>
  <c r="G88" i="12"/>
  <c r="F87" i="12" l="1"/>
  <c r="G89" i="12"/>
  <c r="G91" i="12" s="1"/>
  <c r="F91" i="12" s="1"/>
  <c r="F89" i="12" l="1"/>
  <c r="E29" i="8" l="1"/>
  <c r="F29" i="8" s="1"/>
  <c r="G29" i="8" s="1"/>
  <c r="H29" i="8" s="1"/>
  <c r="I29" i="8" s="1"/>
  <c r="J29" i="8" s="1"/>
  <c r="K29" i="8" s="1"/>
  <c r="L29" i="8" s="1"/>
  <c r="M29" i="8" s="1"/>
  <c r="N29" i="8" s="1"/>
  <c r="O29" i="8" s="1"/>
  <c r="P29" i="8" s="1"/>
  <c r="Q29" i="8" s="1"/>
  <c r="R29" i="8" s="1"/>
  <c r="S29" i="8" s="1"/>
  <c r="T29" i="8" s="1"/>
  <c r="U29" i="8" s="1"/>
  <c r="V29" i="8" s="1"/>
  <c r="W29" i="8" s="1"/>
  <c r="X29" i="8" s="1"/>
  <c r="E37" i="8"/>
  <c r="F37" i="8" s="1"/>
  <c r="G37" i="8" s="1"/>
  <c r="H37" i="8" s="1"/>
  <c r="I37" i="8" s="1"/>
  <c r="J37" i="8" s="1"/>
  <c r="K37" i="8" s="1"/>
  <c r="L37" i="8" s="1"/>
  <c r="M37" i="8" s="1"/>
  <c r="N37" i="8" s="1"/>
  <c r="D8" i="8"/>
  <c r="E28" i="8"/>
  <c r="D9" i="8" l="1"/>
  <c r="E32" i="8" s="1"/>
  <c r="F32" i="8" s="1"/>
  <c r="G32" i="8" s="1"/>
  <c r="H32" i="8" s="1"/>
  <c r="I32" i="8" s="1"/>
  <c r="J32" i="8" s="1"/>
  <c r="K32" i="8" s="1"/>
  <c r="L32" i="8" s="1"/>
  <c r="M32" i="8" s="1"/>
  <c r="N32" i="8" s="1"/>
  <c r="O32" i="8" s="1"/>
  <c r="P32" i="8" s="1"/>
  <c r="Q32" i="8" s="1"/>
  <c r="R32" i="8" s="1"/>
  <c r="S32" i="8" s="1"/>
  <c r="T32" i="8" s="1"/>
  <c r="U32" i="8" s="1"/>
  <c r="V32" i="8" s="1"/>
  <c r="W32" i="8" s="1"/>
  <c r="X32" i="8" s="1"/>
  <c r="D13" i="8"/>
  <c r="D12" i="8"/>
  <c r="E35" i="8" s="1"/>
  <c r="F35" i="8" s="1"/>
  <c r="G35" i="8" s="1"/>
  <c r="H35" i="8" s="1"/>
  <c r="I35" i="8" s="1"/>
  <c r="D27" i="8"/>
  <c r="D44" i="8" s="1"/>
  <c r="D10" i="8"/>
  <c r="E33" i="8" s="1"/>
  <c r="F33" i="8" s="1"/>
  <c r="G33" i="8" s="1"/>
  <c r="H33" i="8" s="1"/>
  <c r="I33" i="8" s="1"/>
  <c r="J33" i="8" s="1"/>
  <c r="K33" i="8" s="1"/>
  <c r="L33" i="8" s="1"/>
  <c r="M33" i="8" s="1"/>
  <c r="N33" i="8" s="1"/>
  <c r="O33" i="8" s="1"/>
  <c r="P33" i="8" s="1"/>
  <c r="Q33" i="8" s="1"/>
  <c r="R33" i="8" s="1"/>
  <c r="S33" i="8" s="1"/>
  <c r="T33" i="8" s="1"/>
  <c r="U33" i="8" s="1"/>
  <c r="V33" i="8" s="1"/>
  <c r="W33" i="8" s="1"/>
  <c r="X33" i="8" s="1"/>
  <c r="F28" i="8"/>
  <c r="E30" i="8"/>
  <c r="D11" i="8"/>
  <c r="N34" i="8" s="1"/>
  <c r="I36" i="8" l="1"/>
  <c r="H36" i="8"/>
  <c r="E36" i="8"/>
  <c r="E39" i="8" s="1"/>
  <c r="E40" i="8" s="1"/>
  <c r="E42" i="8" s="1"/>
  <c r="F36" i="8"/>
  <c r="G36" i="8"/>
  <c r="D47" i="8"/>
  <c r="D48" i="8" s="1"/>
  <c r="D45" i="8"/>
  <c r="G28" i="8"/>
  <c r="F30" i="8"/>
  <c r="F39" i="8" s="1"/>
  <c r="G30" i="8" l="1"/>
  <c r="G39" i="8" s="1"/>
  <c r="H28" i="8"/>
  <c r="F40" i="8"/>
  <c r="F42" i="8" s="1"/>
  <c r="F44" i="8" l="1"/>
  <c r="F47" i="8" s="1"/>
  <c r="E44" i="8"/>
  <c r="I28" i="8"/>
  <c r="H30" i="8"/>
  <c r="H39" i="8" s="1"/>
  <c r="G40" i="8"/>
  <c r="G42" i="8" s="1"/>
  <c r="E47" i="8" l="1"/>
  <c r="E48" i="8" s="1"/>
  <c r="F48" i="8" s="1"/>
  <c r="G44" i="8"/>
  <c r="E45" i="8"/>
  <c r="F45" i="8" s="1"/>
  <c r="H40" i="8"/>
  <c r="H42" i="8" s="1"/>
  <c r="J28" i="8"/>
  <c r="I30" i="8"/>
  <c r="I39" i="8" s="1"/>
  <c r="G47" i="8" l="1"/>
  <c r="G48" i="8" s="1"/>
  <c r="G45" i="8"/>
  <c r="H44" i="8"/>
  <c r="K28" i="8"/>
  <c r="J30" i="8"/>
  <c r="J39" i="8" s="1"/>
  <c r="I40" i="8"/>
  <c r="I42" i="8" s="1"/>
  <c r="H45" i="8" l="1"/>
  <c r="H47" i="8"/>
  <c r="H48" i="8" s="1"/>
  <c r="I44" i="8"/>
  <c r="J40" i="8"/>
  <c r="J42" i="8" s="1"/>
  <c r="K30" i="8"/>
  <c r="K39" i="8" s="1"/>
  <c r="L28" i="8"/>
  <c r="I47" i="8" l="1"/>
  <c r="I48" i="8" s="1"/>
  <c r="I45" i="8"/>
  <c r="J44" i="8"/>
  <c r="M28" i="8"/>
  <c r="L30" i="8"/>
  <c r="L39" i="8" s="1"/>
  <c r="K40" i="8"/>
  <c r="K42" i="8" s="1"/>
  <c r="J47" i="8" l="1"/>
  <c r="J48" i="8" s="1"/>
  <c r="J45" i="8"/>
  <c r="K44" i="8"/>
  <c r="L40" i="8"/>
  <c r="L42" i="8" s="1"/>
  <c r="N28" i="8"/>
  <c r="M30" i="8"/>
  <c r="M39" i="8" s="1"/>
  <c r="K47" i="8" l="1"/>
  <c r="K48" i="8" s="1"/>
  <c r="K45" i="8"/>
  <c r="L44" i="8"/>
  <c r="L47" i="8" s="1"/>
  <c r="M40" i="8"/>
  <c r="M42" i="8" s="1"/>
  <c r="O28" i="8"/>
  <c r="N30" i="8"/>
  <c r="N39" i="8" s="1"/>
  <c r="L48" i="8" l="1"/>
  <c r="L45" i="8"/>
  <c r="M44" i="8"/>
  <c r="M47" i="8" s="1"/>
  <c r="O30" i="8"/>
  <c r="O39" i="8" s="1"/>
  <c r="P28" i="8"/>
  <c r="N40" i="8"/>
  <c r="N42" i="8" s="1"/>
  <c r="M48" i="8" l="1"/>
  <c r="M45" i="8"/>
  <c r="N44" i="8"/>
  <c r="Q28" i="8"/>
  <c r="P30" i="8"/>
  <c r="P39" i="8" s="1"/>
  <c r="O40" i="8"/>
  <c r="O42" i="8" s="1"/>
  <c r="N47" i="8" l="1"/>
  <c r="N48" i="8" s="1"/>
  <c r="N45" i="8"/>
  <c r="O44" i="8"/>
  <c r="P40" i="8"/>
  <c r="P42" i="8" s="1"/>
  <c r="R28" i="8"/>
  <c r="Q30" i="8"/>
  <c r="Q39" i="8" s="1"/>
  <c r="O47" i="8" l="1"/>
  <c r="O48" i="8" s="1"/>
  <c r="O45" i="8"/>
  <c r="P44" i="8"/>
  <c r="P47" i="8" s="1"/>
  <c r="S28" i="8"/>
  <c r="R30" i="8"/>
  <c r="R39" i="8" s="1"/>
  <c r="Q40" i="8"/>
  <c r="Q42" i="8" s="1"/>
  <c r="P48" i="8" l="1"/>
  <c r="P45" i="8"/>
  <c r="Q44" i="8"/>
  <c r="Q47" i="8" s="1"/>
  <c r="R40" i="8"/>
  <c r="R42" i="8" s="1"/>
  <c r="S30" i="8"/>
  <c r="S39" i="8" s="1"/>
  <c r="T28" i="8"/>
  <c r="Q48" i="8" l="1"/>
  <c r="Q45" i="8"/>
  <c r="R44" i="8"/>
  <c r="U28" i="8"/>
  <c r="T30" i="8"/>
  <c r="T39" i="8" s="1"/>
  <c r="S40" i="8"/>
  <c r="S42" i="8" s="1"/>
  <c r="R47" i="8" l="1"/>
  <c r="R48" i="8" s="1"/>
  <c r="R45" i="8"/>
  <c r="S44" i="8"/>
  <c r="T40" i="8"/>
  <c r="T42" i="8" s="1"/>
  <c r="V28" i="8"/>
  <c r="U30" i="8"/>
  <c r="U39" i="8" s="1"/>
  <c r="S47" i="8" l="1"/>
  <c r="S48" i="8" s="1"/>
  <c r="S45" i="8"/>
  <c r="T44" i="8"/>
  <c r="T47" i="8" s="1"/>
  <c r="U40" i="8"/>
  <c r="U42" i="8" s="1"/>
  <c r="W28" i="8"/>
  <c r="V30" i="8"/>
  <c r="V39" i="8" s="1"/>
  <c r="T45" i="8" l="1"/>
  <c r="T48" i="8"/>
  <c r="U44" i="8"/>
  <c r="U47" i="8" s="1"/>
  <c r="W30" i="8"/>
  <c r="W39" i="8" s="1"/>
  <c r="X28" i="8"/>
  <c r="X30" i="8" s="1"/>
  <c r="X39" i="8" s="1"/>
  <c r="V40" i="8"/>
  <c r="V42" i="8" s="1"/>
  <c r="U48" i="8" l="1"/>
  <c r="U45" i="8"/>
  <c r="V44" i="8"/>
  <c r="X40" i="8"/>
  <c r="X42" i="8" s="1"/>
  <c r="W40" i="8"/>
  <c r="W42" i="8" s="1"/>
  <c r="V47" i="8" l="1"/>
  <c r="V48" i="8" s="1"/>
  <c r="V45" i="8"/>
  <c r="X44" i="8"/>
  <c r="W44" i="8"/>
  <c r="D50" i="8" l="1"/>
  <c r="W47" i="8"/>
  <c r="W48" i="8" s="1"/>
  <c r="D51" i="8"/>
  <c r="W45" i="8"/>
  <c r="X45" i="8" s="1"/>
  <c r="D52" i="8"/>
  <c r="X47" i="8"/>
  <c r="X48" i="8" l="1"/>
</calcChain>
</file>

<file path=xl/sharedStrings.xml><?xml version="1.0" encoding="utf-8"?>
<sst xmlns="http://schemas.openxmlformats.org/spreadsheetml/2006/main" count="225" uniqueCount="174">
  <si>
    <t>CAPEX</t>
  </si>
  <si>
    <t>Potencia Instalada</t>
  </si>
  <si>
    <t>Costo por kWp</t>
  </si>
  <si>
    <t>OPEX</t>
  </si>
  <si>
    <t>Seguros</t>
  </si>
  <si>
    <t>Generación de Energía</t>
  </si>
  <si>
    <t>IPC</t>
  </si>
  <si>
    <t>IPP</t>
  </si>
  <si>
    <t>Tarifa Eléctrica</t>
  </si>
  <si>
    <t>kWp</t>
  </si>
  <si>
    <t>%</t>
  </si>
  <si>
    <t>kWh/año</t>
  </si>
  <si>
    <t>$/kWp</t>
  </si>
  <si>
    <t>$</t>
  </si>
  <si>
    <t>$/kWh</t>
  </si>
  <si>
    <t>Inversión Inicial</t>
  </si>
  <si>
    <t>Ahorro de Energía</t>
  </si>
  <si>
    <t>año 0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</si>
  <si>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</si>
  <si>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</si>
  <si>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</si>
  <si>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</si>
  <si>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</si>
  <si>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</si>
  <si>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</si>
  <si>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</si>
  <si>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</si>
  <si>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</si>
  <si>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</si>
  <si>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</si>
  <si>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año 13</t>
  </si>
  <si>
    <t>año 14</t>
  </si>
  <si>
    <t>año 15</t>
  </si>
  <si>
    <t>año 16</t>
  </si>
  <si>
    <t>año 17</t>
  </si>
  <si>
    <t>año 18</t>
  </si>
  <si>
    <t>año 19</t>
  </si>
  <si>
    <t>año 20</t>
  </si>
  <si>
    <t>$/año</t>
  </si>
  <si>
    <t>Cambio Inversor (año 10)</t>
  </si>
  <si>
    <t>Energía Desplazada</t>
  </si>
  <si>
    <t xml:space="preserve">Perdida de Eficiencia </t>
  </si>
  <si>
    <t>Costo de Oportunidad</t>
  </si>
  <si>
    <t>Operación y Mantenimiento</t>
  </si>
  <si>
    <t>Cambio de Inversor</t>
  </si>
  <si>
    <t>-</t>
  </si>
  <si>
    <t>+</t>
  </si>
  <si>
    <t>Flujo de Caja</t>
  </si>
  <si>
    <t>Flujo de Caja Acumulado</t>
  </si>
  <si>
    <t xml:space="preserve"> </t>
  </si>
  <si>
    <t>Tasa de descuento</t>
  </si>
  <si>
    <t>Flujo de Caja Acumulado Descontado Valor Presente</t>
  </si>
  <si>
    <t>Flujo de Caja Descontado Valor Presente</t>
  </si>
  <si>
    <t>VPN</t>
  </si>
  <si>
    <t>Depreciación</t>
  </si>
  <si>
    <t>Impuestos</t>
  </si>
  <si>
    <t>Impuesto de Renta</t>
  </si>
  <si>
    <t>Utilidad antes de  Impuestos</t>
  </si>
  <si>
    <t>Flujo de caja  Descontado Valor Presente Neto</t>
  </si>
  <si>
    <t>TIR</t>
  </si>
  <si>
    <t>Potencia Sistema Solar Fotovoltaico</t>
  </si>
  <si>
    <t>ÍTEM</t>
  </si>
  <si>
    <t>DESCRIPCIÓN</t>
  </si>
  <si>
    <t>UNID.</t>
  </si>
  <si>
    <t>CANT.</t>
  </si>
  <si>
    <t>COSTO 
UNITARIO (SIN IVA)</t>
  </si>
  <si>
    <t>COSTO POR KILOVATIO
(USD/kWp)</t>
  </si>
  <si>
    <t>COSTO TOTAL</t>
  </si>
  <si>
    <t>PANELES SOLARES</t>
  </si>
  <si>
    <t>PANELES SOLARES POLICRISTALINOS</t>
  </si>
  <si>
    <t>1.1.1</t>
  </si>
  <si>
    <t>Marca Seraphin, potencia STD 285Wp ±10%, Tipo de Módulo Policristalino o monocristalino, Dimensiones del panel 1,96m x 0,92m x 0,04m, Peso Máximo 30 kg (15kg/m2), Eficiencia 16,49% Certificaciones Aceptadas: UL Certification, CSA Certification, IEC / EN Certifications, TUV Rheinland, Marca Seraphin, Modelo Referencia SRP-285-6MB  u otro, Tipo de Fabricante TIER 1 (Por Confirmar)</t>
  </si>
  <si>
    <t>Un</t>
  </si>
  <si>
    <t>1.1.2</t>
  </si>
  <si>
    <t>Instalación Fijación de panales a estructura y conexión de los Panales Solares Fotovoltaicos hasta las cajas de DC bajo la norma RETIE o Norma Similar para el funcionamiento del sistema.</t>
  </si>
  <si>
    <t>ESTRUCTURA METALICA PARA TECHO</t>
  </si>
  <si>
    <t>ESTRUCTURA METALICA PARA TECHO TRAPEZOIDAL TIPO RIEL</t>
  </si>
  <si>
    <t>2.1.1</t>
  </si>
  <si>
    <t>Estructura Metalica para cubierta Standingseam para panael solar orientación tipo Portrait (2mts x 1mt)</t>
  </si>
  <si>
    <t>2.1.2</t>
  </si>
  <si>
    <t>Instalación de estucturas para los paneles solares y fijación a estructura en techo Tipo Riel</t>
  </si>
  <si>
    <t xml:space="preserve">CAJA DE EMPALME </t>
  </si>
  <si>
    <t>CAJA DE EMPALME EN TECHO PARA STRINGS</t>
  </si>
  <si>
    <t>3.1.1</t>
  </si>
  <si>
    <t>Suministro Tipo de Caja Junction Box o Pass-thru box Número de Circuitos 4 •Materiales de Construcción • Material de la carcasa Poliéster termoendurecido reforzado con fibra de vidrio moldeado por compresión en caliente • Material de la empaquetadura: Poliuretano vertido • Material de hardware externo: Acero inoxidable Descripción • Diseñado para 600 VDC o 1000 VDC de servicio continuo Construido de acuerdo con los estándares UL1741. • Clasificada para funcionamiento continuo a 60 ° C ambiente. • Con terminales con portafusibles.</t>
  </si>
  <si>
    <t>3.1.2</t>
  </si>
  <si>
    <t>Suministro de Fusibles en Caja de Empalme en Techo, Tipo Fusible para Sistemas Solares (Cadenas) Rating • Volts : 1000VDC • Amps : 15A • IR : 10kA I.R. DC • MBC : 1.35 x In Características • Apto para instalación en el portafusibles al interior de caja de empalme en techo. Requerimientos • UL Listed to Standard • UL2579 File E333668 • CSA Component Certified C22.2 • IEC 60269-6 Approved</t>
  </si>
  <si>
    <t>3.1.3</t>
  </si>
  <si>
    <t xml:space="preserve">Instalación y Conexión  Caja Junction Box o Pass-thru box </t>
  </si>
  <si>
    <t>INVERSORES DC/AC</t>
  </si>
  <si>
    <t>INVERSOR 24kW</t>
  </si>
  <si>
    <t>4.1.1</t>
  </si>
  <si>
    <t>Marca FRONIUS SYMO, potencia de Salida 24 kW Tipo de Inversor Grid-Tie / 60 Hz / 480 Vac / Transformerless Trifásico Entradas MPPT 2. Protección Mecánica Aceptada: NEMA 6 • IP 65 • Tipo 4X Rango de Temperatura -40°C hasta 65°C Eficiencia mínima 95% Certificaciones Aceptadas • UL1741, FCC Part15 Class B • CAN/CSA-C22.2 • IEEE1547 • UL2703 Dimensiones 51.1 x 72.4 x 22.6 cm (Alto x Ancho x Profundidad) Espacio entre inversores recomendada 500 mm entre inversores 300 mm a muro 600 mm a piso 300 mm a techo Garantia mínima 10 años</t>
  </si>
  <si>
    <t>4.1.2</t>
  </si>
  <si>
    <t>Instalación Inversores DC/AC</t>
  </si>
  <si>
    <t>CABLEADO DC</t>
  </si>
  <si>
    <t>CABLE 12 AWG</t>
  </si>
  <si>
    <t>5.1.1</t>
  </si>
  <si>
    <t>Suministro Calibre 12 AWG / 4mm2  • Aplicación Solar FV • Cables flexibles monoconductores de tensión 1,8 kV en corriente continúa (cc). Requerimientos • Resistente a radiación ultravioleta (UV) UL1581 • Resistente a Absorción de Agua IEC-60811-402 • Resistencia a Impacto IEC-60811-506 • Resistente a abrasión EN-50305 • Resistente a Cortes HD-605 • Retardarte Llamas IEC-60332-1-2 Norma Constructiva • AENOR EA 0038 • TÜV 2 Pfg 1169/08.2007 • Cables para paneles solares. Norma Nac / Europea : • UNE-EN 60332-1-2 • UNE-EN 50226-2-4 • UNE-EN 50267 • UNE EN 61034-2 Internacional : • IEC 60332-1-2 • IEC 60332-3-24 • IEC 60754 • IEC 61034-2 Similares</t>
  </si>
  <si>
    <t>5.1.2</t>
  </si>
  <si>
    <t xml:space="preserve">Instalación Cable Calibre 12 AWG / 4mm2 </t>
  </si>
  <si>
    <t>CABLE 10 AWG</t>
  </si>
  <si>
    <t>5.2.1</t>
  </si>
  <si>
    <t>Suministro  Calibre 10 AWG / 5,26mm2 • Aplicación Solar FV • Cables flexibles monoconductores de tensión 1,8 kV en corriente continúa (cc). Requerimientos • Resistente a radiación ultravioleta (UV) UL1581 • Resistente a Absorción de Agua IEC-60811-402 • Resistencia a Impacto IEC-60811-506 • Resistente a abrasión EN-50305 • Resistente a Cortes HD-605 • Retardarte Llamas IEC-60332-1-2 Norma Constructiva • AENOR EA 0038 • TÜV 2 Pfg 1169/08.2007 • Cables para paneles solares. Norma Nac / Europea : • UNE-EN 60332-1-2 • UNE-EN 50226-2-4 • UNE-EN 50267 • UNE EN 61034-2 Internacional : • IEC 60332-1-2 • IEC 60332-3-24 • IEC 60754 • IEC 61034-2 Similares</t>
  </si>
  <si>
    <t>5.2.2</t>
  </si>
  <si>
    <t>Instalación Cable Calibre 10 AWG / 5,25mm2</t>
  </si>
  <si>
    <t>CABLEADO AC</t>
  </si>
  <si>
    <t>CABLE # 2/0</t>
  </si>
  <si>
    <t>6.1.1</t>
  </si>
  <si>
    <t>Suministro Cable  Calibre 3 # 2/0 AWG</t>
  </si>
  <si>
    <t>6.1.2</t>
  </si>
  <si>
    <t>Instalación Cable  Calibre 3 # 2/0 AWG</t>
  </si>
  <si>
    <t>BANDEJA PORTACABLE DC</t>
  </si>
  <si>
    <t>BANDEJA PORTACABLE (600mm x 80 mm x 2400 mm)</t>
  </si>
  <si>
    <t>7.1.1</t>
  </si>
  <si>
    <t>Suministro de bandeja portacable semipesada de 600mm x 80mm. x2,4 Mts. Separación entre peldaños de 100 mm. Incluye: platinas de unión, tornillos de sujeción, elementos para cambio de dirección ("T", codos, curvas, etc), soportería (soportes cada 1200mm y en cambios de dirección) y todos los elementos necesarios para su correcta instalación. Ver detalle de soportería en planos.</t>
  </si>
  <si>
    <t>m</t>
  </si>
  <si>
    <t>7.1.2</t>
  </si>
  <si>
    <t>Instalación de bandeja portacable semipesada de 600mm x 80mm. x2,4 Mts. Separación entre peldaños de 100 mm. Incluye: platinas de unión, tornillos de sujeción, elementos para cambio de dirección ("T", codos, curvas, etc), soportería (soportes cada 1200mm y en cambios de dirección) y todos los elementos necesarios para su correcta instalación. Ver detalle de soportería en planos.</t>
  </si>
  <si>
    <t>BANDEJA PORTACABLE AC</t>
  </si>
  <si>
    <t>BANDEJA PORTACABLE (200mm x 80mm x 2400mm)</t>
  </si>
  <si>
    <t>8.1.1</t>
  </si>
  <si>
    <t>Suministro de bandeja portacable semipesada de 200mm x 80mm. x2,4 Mts. Separación entre peldaños de 100 mm. Incluye: platinas de unión, tornillos de sujeción, elementos para cambio de dirección ("T", codos, curvas, etc), soportería (soportes cada 1200mm y en cambios de dirección) y todos los elementos necesarios para su correcta instalación. Ver detalle de soportería en planos.</t>
  </si>
  <si>
    <t>8.1.2</t>
  </si>
  <si>
    <t>Instalación de bandeja portacable semipesada de 200mm x 80mm. x2,4 Mts. Separación entre peldaños de 100 mm. Incluye: platinas de unión, tornillos de sujeción, elementos para cambio de dirección ("T", codos, curvas, etc), soportería (soportes cada 1200mm y en cambios de dirección) y todos los elementos necesarios para su correcta instalación. Ver detalle de soportería en planos.</t>
  </si>
  <si>
    <t>9.1.1</t>
  </si>
  <si>
    <t>9.1.2</t>
  </si>
  <si>
    <t>DPS DC</t>
  </si>
  <si>
    <t>9.2.1</t>
  </si>
  <si>
    <t>Suministro DPS Tipo II</t>
  </si>
  <si>
    <t>9.2.2</t>
  </si>
  <si>
    <t>Instalación DPS Tipo II</t>
  </si>
  <si>
    <t>SUICHES AC</t>
  </si>
  <si>
    <t>10.1.1</t>
  </si>
  <si>
    <t>10.1.2</t>
  </si>
  <si>
    <t>OTROS</t>
  </si>
  <si>
    <t>10.2.1</t>
  </si>
  <si>
    <t>10.2.2</t>
  </si>
  <si>
    <t>TRANSFORMADOR</t>
  </si>
  <si>
    <t>TRANSFORMADOR BAJA - BAJA</t>
  </si>
  <si>
    <t>11.1.1</t>
  </si>
  <si>
    <t>Transformador Reductor de Voltaje
- Tipo:  Seco
- Clase: H
- Potencia: 112.5 kVA  
- Bajas Pérdidas 
- Frecuencia: 60Hz   
- Numero de fases: Tres (3). 
- Tensión primaria: 480 V.  
- Tensión secundaria: 440 V bajo carga.                                                                                                                                                                                               - Tipo de servicio: Continuo.
- Montaje: Interior en celda autosoportada en lámina Cold Rolled calibre 12 y 14 (para instalación en subestación Interior).
- Conexión : DYn5 (por confirmar)
- Platinas para conexión de cableado en bornes de media y baja tensión 
- Soportes para DPS. 
- Salida de cableado inferior en bandeja portacables.
NOTA: El transformador deberá cumplir todas las certificaciones RETIE y normatividades de EPM</t>
  </si>
  <si>
    <t>11.1.2</t>
  </si>
  <si>
    <t>Instalación de Transformador Reductor de Voltaje (480Vac / 440Vac)</t>
  </si>
  <si>
    <t>TABLEROS ELÉCTRICOS</t>
  </si>
  <si>
    <t>TABLEROS ELÉCTRICOS EN BAJA TENSIÓN</t>
  </si>
  <si>
    <t>12.1.1</t>
  </si>
  <si>
    <t>Suministro Gabinete con dos compartimientos para barraje de 440Vac en la parte superior y Transformador en la parte inferior tipo ML (tablero de distribución principal ML-01) en lámina cold rolles calibre 12 y 14, barraje de Cu electroplateado (con neutro y tierra), 3200A, 440V, 60 Hz. Marcación según RETIE, puesta a tierra según RETIE y NTC 2050, pruebas y chequeos.</t>
  </si>
  <si>
    <t xml:space="preserve">Instalación, montaje y puesta en servicio de Gabinete </t>
  </si>
  <si>
    <t>SISTEMA DE PUESTA A TIERRA</t>
  </si>
  <si>
    <t>Diseño puesta de Sistema Puesta a Tierra</t>
  </si>
  <si>
    <t>Suministro e instalación de Alambrón de aluminio para anillo superior y bajantes del sistema solar fotovoltaico. Incluye accesorios, conectores de compresión Aluminio-Aluminio y bimetálicos Aluminio-Cobre, (paralelos y/o en cruz según se requieran) soportes poliamida para la fijación del cableado (1 cada metro).</t>
  </si>
  <si>
    <t>SUBTOTAL OBRA ELÉCTRICA ANTES DE IVA</t>
  </si>
  <si>
    <t>IVA MANO DE OBRA</t>
  </si>
  <si>
    <t>GASTOS ADMINISTRATIVOS</t>
  </si>
  <si>
    <t>IMPREVISTOS (5%)</t>
  </si>
  <si>
    <t>INSPECCIÓN ENTE CERTIFICADOR (ONAC)</t>
  </si>
  <si>
    <t>PROCEDIMIENTO BENEFICIOS LEY 1715</t>
  </si>
  <si>
    <t>TOTAL COSTO DIRECTOS</t>
  </si>
  <si>
    <t>COSTO SIN IVA</t>
  </si>
  <si>
    <t>IVA</t>
  </si>
  <si>
    <t>TOTAL OBRA ELÉCTRICA</t>
  </si>
  <si>
    <t>OTROS COSTOS</t>
  </si>
  <si>
    <t>INTERRUPTOR DC</t>
  </si>
  <si>
    <t>SISTEMA DE PROTECCIÓN DC Y INTERRUPTOR DC</t>
  </si>
  <si>
    <t>Suministro interruptor DC - Dos Polos - Vmax 1000Vdc - Imax 80.7 A (Norma NEC 690.80)</t>
  </si>
  <si>
    <t>Instalación Interruptor DC</t>
  </si>
  <si>
    <t>SISTEMA DE PROTECCIÓN AC  Y INTERRUPTOR AC</t>
  </si>
  <si>
    <t xml:space="preserve">Suministro interruptor AC - Tres Polos - Vmax 540Vac - Imax 38Amp (Norma NEC 690.10) </t>
  </si>
  <si>
    <t>Instalación Interruptor AC</t>
  </si>
  <si>
    <t>Horas de Sol Pico Dia</t>
  </si>
  <si>
    <t>HSP</t>
  </si>
  <si>
    <t>Beneficio Impuesto de Renta</t>
  </si>
  <si>
    <t>Utilidad despues de Impuestos + depreciación + Beneficio Tributario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</si>
</sst>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9" formatCode="0.0%"/>
    <numFmt numFmtId="170" formatCode="_(&quot;$&quot;* #,##0_);_(&quot;$&quot;* \(#,##0\);_(&quot;$&quot;* &quot;-&quot;??_);_(@_)"/>
    <numFmt numFmtId="172" formatCode="&quot;$&quot;#,##0.00"/>
    <numFmt numFmtId="173" formatCode="&quot;$&quot;#,##0"/>
    <numFmt numFmtId="174" formatCode="#,##0.000"/>
    <numFmt numFmtId="175" formatCode="&quot;$&quot;#,##0.000"/>
    <numFmt numFmtId="177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90">
    <xf numFmtId="0" fontId="0" fillId="0" borderId="0" xfId="0"/>
    <xf numFmtId="169" fontId="0" fillId="0" borderId="0" xfId="3" applyNumberFormat="1" applyFont="1"/>
    <xf numFmtId="10" fontId="0" fillId="0" borderId="0" xfId="3" applyNumberFormat="1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167" fontId="4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172" fontId="4" fillId="3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/>
    </xf>
    <xf numFmtId="172" fontId="4" fillId="4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70" fontId="4" fillId="0" borderId="1" xfId="2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173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172" fontId="4" fillId="0" borderId="3" xfId="0" applyNumberFormat="1" applyFont="1" applyFill="1" applyBorder="1" applyAlignment="1">
      <alignment horizontal="center" vertical="center"/>
    </xf>
    <xf numFmtId="173" fontId="4" fillId="3" borderId="3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/>
    <xf numFmtId="3" fontId="6" fillId="0" borderId="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70" fontId="4" fillId="0" borderId="4" xfId="2" applyNumberFormat="1" applyFont="1" applyFill="1" applyBorder="1" applyAlignment="1">
      <alignment horizontal="center" vertical="center"/>
    </xf>
    <xf numFmtId="174" fontId="4" fillId="3" borderId="4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73" fontId="5" fillId="3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justify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72" fontId="5" fillId="0" borderId="3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173" fontId="5" fillId="0" borderId="4" xfId="0" applyNumberFormat="1" applyFont="1" applyBorder="1" applyAlignment="1">
      <alignment horizontal="center" vertical="center"/>
    </xf>
    <xf numFmtId="173" fontId="5" fillId="5" borderId="1" xfId="0" applyNumberFormat="1" applyFont="1" applyFill="1" applyBorder="1" applyAlignment="1">
      <alignment horizontal="center" vertical="center"/>
    </xf>
    <xf numFmtId="173" fontId="5" fillId="5" borderId="4" xfId="0" applyNumberFormat="1" applyFont="1" applyFill="1" applyBorder="1" applyAlignment="1">
      <alignment horizontal="center" vertical="center"/>
    </xf>
    <xf numFmtId="172" fontId="5" fillId="5" borderId="3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/>
    </xf>
    <xf numFmtId="173" fontId="4" fillId="6" borderId="3" xfId="0" applyNumberFormat="1" applyFont="1" applyFill="1" applyBorder="1" applyAlignment="1">
      <alignment horizontal="center" vertical="center"/>
    </xf>
    <xf numFmtId="9" fontId="4" fillId="4" borderId="1" xfId="4" applyNumberFormat="1" applyFont="1" applyFill="1" applyBorder="1" applyAlignment="1">
      <alignment horizontal="center" vertical="center"/>
    </xf>
    <xf numFmtId="10" fontId="4" fillId="4" borderId="1" xfId="4" applyNumberFormat="1" applyFont="1" applyFill="1" applyBorder="1" applyAlignment="1">
      <alignment horizontal="center" vertical="center"/>
    </xf>
    <xf numFmtId="173" fontId="4" fillId="6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center" vertical="center" wrapText="1"/>
    </xf>
    <xf numFmtId="10" fontId="4" fillId="4" borderId="9" xfId="4" applyNumberFormat="1" applyFont="1" applyFill="1" applyBorder="1" applyAlignment="1">
      <alignment horizontal="center" vertical="center"/>
    </xf>
    <xf numFmtId="174" fontId="4" fillId="3" borderId="7" xfId="0" applyNumberFormat="1" applyFont="1" applyFill="1" applyBorder="1" applyAlignment="1">
      <alignment horizontal="center" vertical="center"/>
    </xf>
    <xf numFmtId="0" fontId="9" fillId="7" borderId="10" xfId="0" applyFont="1" applyFill="1" applyBorder="1" applyAlignment="1" applyProtection="1">
      <alignment horizontal="center" vertical="center"/>
    </xf>
    <xf numFmtId="0" fontId="9" fillId="7" borderId="11" xfId="0" applyFont="1" applyFill="1" applyBorder="1" applyAlignment="1" applyProtection="1">
      <alignment horizontal="left" vertical="center"/>
    </xf>
    <xf numFmtId="9" fontId="9" fillId="7" borderId="11" xfId="0" applyNumberFormat="1" applyFont="1" applyFill="1" applyBorder="1" applyAlignment="1" applyProtection="1">
      <alignment horizontal="center" vertical="center"/>
    </xf>
    <xf numFmtId="173" fontId="9" fillId="7" borderId="11" xfId="0" applyNumberFormat="1" applyFont="1" applyFill="1" applyBorder="1" applyAlignment="1" applyProtection="1">
      <alignment horizontal="left" vertical="center"/>
    </xf>
    <xf numFmtId="175" fontId="9" fillId="7" borderId="12" xfId="0" applyNumberFormat="1" applyFont="1" applyFill="1" applyBorder="1" applyAlignment="1" applyProtection="1">
      <alignment horizontal="center" vertical="center"/>
    </xf>
    <xf numFmtId="173" fontId="9" fillId="7" borderId="13" xfId="0" applyNumberFormat="1" applyFont="1" applyFill="1" applyBorder="1" applyAlignment="1" applyProtection="1">
      <alignment horizontal="center" vertical="center"/>
    </xf>
    <xf numFmtId="172" fontId="4" fillId="6" borderId="3" xfId="0" applyNumberFormat="1" applyFont="1" applyFill="1" applyBorder="1" applyAlignment="1">
      <alignment horizontal="center" vertical="center"/>
    </xf>
    <xf numFmtId="0" fontId="4" fillId="6" borderId="9" xfId="4" applyFont="1" applyFill="1" applyBorder="1" applyAlignment="1">
      <alignment vertical="center"/>
    </xf>
    <xf numFmtId="9" fontId="4" fillId="4" borderId="9" xfId="4" applyNumberFormat="1" applyFont="1" applyFill="1" applyBorder="1" applyAlignment="1">
      <alignment horizontal="center" vertical="center"/>
    </xf>
    <xf numFmtId="0" fontId="5" fillId="6" borderId="7" xfId="4" applyFill="1" applyBorder="1" applyAlignment="1">
      <alignment vertical="center"/>
    </xf>
    <xf numFmtId="0" fontId="0" fillId="0" borderId="0" xfId="0" applyFill="1"/>
    <xf numFmtId="172" fontId="0" fillId="0" borderId="0" xfId="0" applyNumberFormat="1"/>
    <xf numFmtId="177" fontId="0" fillId="0" borderId="0" xfId="0" applyNumberFormat="1" applyAlignment="1">
      <alignment horizontal="left"/>
    </xf>
    <xf numFmtId="177" fontId="0" fillId="0" borderId="0" xfId="0" applyNumberFormat="1" applyAlignment="1">
      <alignment horizontal="center"/>
    </xf>
    <xf numFmtId="177" fontId="0" fillId="0" borderId="0" xfId="0" applyNumberFormat="1"/>
    <xf numFmtId="177" fontId="0" fillId="0" borderId="0" xfId="1" applyNumberFormat="1" applyFont="1"/>
    <xf numFmtId="177" fontId="0" fillId="0" borderId="0" xfId="2" applyNumberFormat="1" applyFont="1"/>
  </cellXfs>
  <cellStyles count="5">
    <cellStyle name="Millares" xfId="1" builtinId="3"/>
    <cellStyle name="Moneda" xfId="2" builtinId="4"/>
    <cellStyle name="Normal" xfId="0" builtinId="0"/>
    <cellStyle name="Normal 3" xfId="4" xr:uid="{70818810-C1D3-4478-A6A1-DEBF1E884A7C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(CAPEX!$B$4,CAPEX!$B$9,CAPEX!$B$20,CAPEX!$B$25,CAPEX!$B$34,CAPEX!$B$39,CAPEX!$B$44,CAPEX!$B$49,CAPEX!$B$58,CAPEX!$B$67,CAPEX!$B$72,CAPEX!$B$77)</c:f>
              <c:strCache>
                <c:ptCount val="12"/>
                <c:pt idx="0">
                  <c:v>PANELES SOLARES</c:v>
                </c:pt>
                <c:pt idx="1">
                  <c:v>ESTRUCTURA METALICA PARA TECHO</c:v>
                </c:pt>
                <c:pt idx="2">
                  <c:v>INVERSORES DC/AC</c:v>
                </c:pt>
                <c:pt idx="3">
                  <c:v>CABLEADO DC</c:v>
                </c:pt>
                <c:pt idx="4">
                  <c:v>CABLEADO AC</c:v>
                </c:pt>
                <c:pt idx="5">
                  <c:v>BANDEJA PORTACABLE DC</c:v>
                </c:pt>
                <c:pt idx="6">
                  <c:v>BANDEJA PORTACABLE AC</c:v>
                </c:pt>
                <c:pt idx="7">
                  <c:v>SISTEMA DE PROTECCIÓN DC Y INTERRUPTOR DC</c:v>
                </c:pt>
                <c:pt idx="8">
                  <c:v>SISTEMA DE PROTECCIÓN AC  Y INTERRUPTOR AC</c:v>
                </c:pt>
                <c:pt idx="9">
                  <c:v>TRANSFORMADOR</c:v>
                </c:pt>
                <c:pt idx="10">
                  <c:v>TABLEROS ELÉCTRICOS</c:v>
                </c:pt>
                <c:pt idx="11">
                  <c:v>SISTEMA DE PUESTA A TIERRA</c:v>
                </c:pt>
              </c:strCache>
            </c:strRef>
          </c:cat>
          <c:val>
            <c:numRef>
              <c:f>(CAPEX!$F$4,CAPEX!$F$9,CAPEX!$F$20,CAPEX!$F$25,CAPEX!$F$34,CAPEX!$F$39,CAPEX!$F$44,CAPEX!$F$49,CAPEX!$F$58,CAPEX!$F$67,CAPEX!$F$72,CAPEX!$F$77)</c:f>
              <c:numCache>
                <c:formatCode>#,##0.00</c:formatCode>
                <c:ptCount val="12"/>
                <c:pt idx="0">
                  <c:v>0.53544796666666672</c:v>
                </c:pt>
                <c:pt idx="1">
                  <c:v>0.16666666666666669</c:v>
                </c:pt>
                <c:pt idx="2">
                  <c:v>0.18390293333333335</c:v>
                </c:pt>
                <c:pt idx="3">
                  <c:v>9.4366166666666668E-2</c:v>
                </c:pt>
                <c:pt idx="4">
                  <c:v>8.3333333333333332E-3</c:v>
                </c:pt>
                <c:pt idx="5">
                  <c:v>4.3733333333333332E-2</c:v>
                </c:pt>
                <c:pt idx="6">
                  <c:v>1.6583333333333332E-2</c:v>
                </c:pt>
                <c:pt idx="7">
                  <c:v>4.7999999999999996E-3</c:v>
                </c:pt>
                <c:pt idx="8">
                  <c:v>7.4400000000000004E-3</c:v>
                </c:pt>
                <c:pt idx="9" formatCode="#,##0.000">
                  <c:v>3.6666666666666667E-2</c:v>
                </c:pt>
                <c:pt idx="10" formatCode="#,##0.000">
                  <c:v>3.5000000000000003E-2</c:v>
                </c:pt>
                <c:pt idx="11" formatCode="#,##0.000">
                  <c:v>4.7999999999999996E-3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B-4F61-80B1-D70495271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127672"/>
        <c:axId val="326129640"/>
      </c:barChart>
      <c:catAx>
        <c:axId val="326127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26129640"/>
        <c:crosses val="autoZero"/>
        <c:auto val="1"/>
        <c:lblAlgn val="ctr"/>
        <c:lblOffset val="100"/>
        <c:noMultiLvlLbl val="0"/>
      </c:catAx>
      <c:valAx>
        <c:axId val="32612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26127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Flujo de Caja Acumulado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Flujo de Caja Acumulado</c:v>
          </c:tx>
          <c:xVal>
            <c:numRef>
              <c:f>'Flujo de Caja Proyecto'!$D$26:$X$26</c:f>
              <c:numCache>
                <c:formatCode>#,##0_ ;[Red]\-#,##0\ 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'Flujo de Caja Proyecto'!$D$45:$X$45</c:f>
              <c:numCache>
                <c:formatCode>#,##0_ ;[Red]\-#,##0\ </c:formatCode>
                <c:ptCount val="21"/>
                <c:pt idx="0">
                  <c:v>-400000000</c:v>
                </c:pt>
                <c:pt idx="1">
                  <c:v>-328910800</c:v>
                </c:pt>
                <c:pt idx="2">
                  <c:v>-257053075.16</c:v>
                </c:pt>
                <c:pt idx="3">
                  <c:v>-184414079.316652</c:v>
                </c:pt>
                <c:pt idx="4">
                  <c:v>-110980910.95823005</c:v>
                </c:pt>
                <c:pt idx="5">
                  <c:v>-36740513.99430877</c:v>
                </c:pt>
                <c:pt idx="6">
                  <c:v>9280321.3061936945</c:v>
                </c:pt>
                <c:pt idx="7">
                  <c:v>56134957.199163668</c:v>
                </c:pt>
                <c:pt idx="8">
                  <c:v>103836907.16175467</c:v>
                </c:pt>
                <c:pt idx="9">
                  <c:v>152399834.3908394</c:v>
                </c:pt>
                <c:pt idx="10">
                  <c:v>175037550.09265703</c:v>
                </c:pt>
                <c:pt idx="11">
                  <c:v>225364011.5523732</c:v>
                </c:pt>
                <c:pt idx="12">
                  <c:v>276593319.97176141</c:v>
                </c:pt>
                <c:pt idx="13">
                  <c:v>328739718.06268382</c:v>
                </c:pt>
                <c:pt idx="14">
                  <c:v>381817587.38349658</c:v>
                </c:pt>
                <c:pt idx="15">
                  <c:v>435841445.40492845</c:v>
                </c:pt>
                <c:pt idx="16">
                  <c:v>490825942.2913816</c:v>
                </c:pt>
                <c:pt idx="17">
                  <c:v>546785857.38297689</c:v>
                </c:pt>
                <c:pt idx="18">
                  <c:v>603736095.36301482</c:v>
                </c:pt>
                <c:pt idx="19">
                  <c:v>661691682.09484327</c:v>
                </c:pt>
                <c:pt idx="20">
                  <c:v>720667760.11141574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20-4956-AEFC-893F375F3440}"/>
            </c:ext>
          </c:extLst>
        </c:ser>
        <c:ser>
          <c:idx val="1"/>
          <c:order val="1"/>
          <c:tx>
            <c:v>Flujo de Caja Acumulado Descontado</c:v>
          </c:tx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'Flujo de Caja Proyecto'!$D$26:$X$26</c:f>
              <c:numCache>
                <c:formatCode>#,##0_ ;[Red]\-#,##0\ 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'Flujo de Caja Proyecto'!$D$48:$X$48</c:f>
              <c:numCache>
                <c:formatCode>#,##0_ ;[Red]\-#,##0\ </c:formatCode>
                <c:ptCount val="21"/>
                <c:pt idx="0">
                  <c:v>-400000000</c:v>
                </c:pt>
                <c:pt idx="1">
                  <c:v>-336527500</c:v>
                </c:pt>
                <c:pt idx="2">
                  <c:v>-279242961.70280612</c:v>
                </c:pt>
                <c:pt idx="3">
                  <c:v>-227539959.24051055</c:v>
                </c:pt>
                <c:pt idx="4">
                  <c:v>-180871853.19418779</c:v>
                </c:pt>
                <c:pt idx="5">
                  <c:v>-138745858.17764929</c:v>
                </c:pt>
                <c:pt idx="6">
                  <c:v>-115430270.79183891</c:v>
                </c:pt>
                <c:pt idx="7">
                  <c:v>-94235613.010758102</c:v>
                </c:pt>
                <c:pt idx="8">
                  <c:v>-74969595.478956491</c:v>
                </c:pt>
                <c:pt idx="9">
                  <c:v>-57457317.077697612</c:v>
                </c:pt>
                <c:pt idx="10">
                  <c:v>-50168578.484163374</c:v>
                </c:pt>
                <c:pt idx="11">
                  <c:v>-35700923.410643965</c:v>
                </c:pt>
                <c:pt idx="12">
                  <c:v>-22551635.910569496</c:v>
                </c:pt>
                <c:pt idx="13">
                  <c:v>-10601027.3598956</c:v>
                </c:pt>
                <c:pt idx="14">
                  <c:v>259756.31458049826</c:v>
                </c:pt>
                <c:pt idx="15">
                  <c:v>10129713.194164019</c:v>
                </c:pt>
                <c:pt idx="16">
                  <c:v>19098875.701885439</c:v>
                </c:pt>
                <c:pt idx="17">
                  <c:v>27249120.6539713</c:v>
                </c:pt>
                <c:pt idx="18">
                  <c:v>34654906.257973306</c:v>
                </c:pt>
                <c:pt idx="19">
                  <c:v>41383942.636196248</c:v>
                </c:pt>
                <c:pt idx="20">
                  <c:v>47497801.861320615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20-4956-AEFC-893F375F3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211384"/>
        <c:axId val="424218600"/>
      </c:scatterChart>
      <c:valAx>
        <c:axId val="424211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4218600"/>
        <c:crosses val="autoZero"/>
        <c:crossBetween val="midCat"/>
      </c:valAx>
      <c:valAx>
        <c:axId val="42421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4211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Flujo</a:t>
            </a:r>
            <a:r>
              <a:rPr lang="es-CO" baseline="0"/>
              <a:t> de Caja Libre del Proyecto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'Flujo de Caja Proyecto'!$D$26:$X$26</c:f>
              <c:numCache>
                <c:formatCode>#,##0_ ;[Red]\-#,##0\ 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'Flujo de Caja Proyecto'!$D$44:$X$44</c:f>
              <c:numCache>
                <c:formatCode>#,##0_ ;[Red]\-#,##0\ </c:formatCode>
                <c:ptCount val="21"/>
                <c:pt idx="0">
                  <c:v>-400000000</c:v>
                </c:pt>
                <c:pt idx="1">
                  <c:v>71089200</c:v>
                </c:pt>
                <c:pt idx="2">
                  <c:v>71857724.840000004</c:v>
                </c:pt>
                <c:pt idx="3">
                  <c:v>72638995.843347996</c:v>
                </c:pt>
                <c:pt idx="4">
                  <c:v>73433168.358421952</c:v>
                </c:pt>
                <c:pt idx="5">
                  <c:v>74240396.963921279</c:v>
                </c:pt>
                <c:pt idx="6">
                  <c:v>46020835.300502464</c:v>
                </c:pt>
                <c:pt idx="7">
                  <c:v>46854635.892969973</c:v>
                </c:pt>
                <c:pt idx="8">
                  <c:v>47701949.962591007</c:v>
                </c:pt>
                <c:pt idx="9">
                  <c:v>48562927.229084738</c:v>
                </c:pt>
                <c:pt idx="10">
                  <c:v>22637715.701817628</c:v>
                </c:pt>
                <c:pt idx="11">
                  <c:v>50326461.459716171</c:v>
                </c:pt>
                <c:pt idx="12">
                  <c:v>51229308.419388205</c:v>
                </c:pt>
                <c:pt idx="13">
                  <c:v>52146398.090922415</c:v>
                </c:pt>
                <c:pt idx="14">
                  <c:v>53077869.320812739</c:v>
                </c:pt>
                <c:pt idx="15">
                  <c:v>54023858.021431848</c:v>
                </c:pt>
                <c:pt idx="16">
                  <c:v>54984496.886453137</c:v>
                </c:pt>
                <c:pt idx="17">
                  <c:v>55959915.091595307</c:v>
                </c:pt>
                <c:pt idx="18">
                  <c:v>56950237.980037943</c:v>
                </c:pt>
                <c:pt idx="19">
                  <c:v>57955586.731828421</c:v>
                </c:pt>
                <c:pt idx="20">
                  <c:v>58976078.016572513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9-49F6-BBF6-3749D1A61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211384"/>
        <c:axId val="424218600"/>
      </c:barChart>
      <c:catAx>
        <c:axId val="424211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4218600"/>
        <c:crosses val="autoZero"/>
        <c:auto val="1"/>
        <c:lblAlgn val="ctr"/>
        <c:lblOffset val="100"/>
        <c:noMultiLvlLbl val="0"/>
      </c:catAx>
      <c:valAx>
        <c:axId val="42421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4211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27214</xdr:colOff>
      <xdr:row>2</xdr:row>
      <xdr:rowOff>9072</xdr:rowOff>
    </xdr:from>
    <xdr:to>
      <xdr:col>16</xdr:col>
      <xdr:colOff>598715</xdr:colOff>
      <xdr:row>15</xdr:row>
      <xdr:rowOff>1034143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9EC130-634A-4C34-98F6-F424767DB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519544</xdr:colOff>
      <xdr:row>0</xdr:row>
      <xdr:rowOff>169718</xdr:rowOff>
    </xdr:from>
    <xdr:to>
      <xdr:col>19</xdr:col>
      <xdr:colOff>394607</xdr:colOff>
      <xdr:row>22</xdr:row>
      <xdr:rowOff>27214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5A396F-3D94-4EFD-98CB-E5590FF16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225136</xdr:colOff>
      <xdr:row>1</xdr:row>
      <xdr:rowOff>0</xdr:rowOff>
    </xdr:from>
    <xdr:to>
      <xdr:col>10</xdr:col>
      <xdr:colOff>883227</xdr:colOff>
      <xdr:row>22</xdr:row>
      <xdr:rowOff>3463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274C8A-A890-42EE-8D95-F1418646D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F2F0D-489E-4DCF-B45B-DBDD2B8FB971}">
  <sheetPr>
    <tabColor rgb="FF92D050"/>
  </sheetPr>
  <dimension ref="A1:I91"/>
  <sheetViews>
    <sheetView tabSelected="1" zoomScale="91" zoomScaleNormal="55" workbookViewId="0">
      <selection activeCell="A16" sqref="A16"/>
    </sheetView>
  </sheetViews>
  <sheetFormatPr baseColWidth="10" defaultColWidth="9.140625" defaultRowHeight="15" x14ac:dyDescent="0.25"/>
  <cols>
    <col min="1" max="1" width="5.85546875" customWidth="1"/>
    <col min="2" max="2" width="80.42578125" customWidth="1"/>
    <col min="3" max="3" width="5.5703125" bestFit="1" customWidth="1"/>
    <col min="4" max="4" width="8" bestFit="1" customWidth="1"/>
    <col min="5" max="5" width="14.5703125" bestFit="1" customWidth="1"/>
    <col min="6" max="6" width="23.7109375" customWidth="1"/>
    <col min="7" max="7" width="17.5703125" bestFit="1" customWidth="1"/>
    <col min="9" max="9" width="12.28515625" bestFit="1" customWidth="1"/>
  </cols>
  <sheetData>
    <row r="1" spans="1:7" x14ac:dyDescent="0.25">
      <c r="B1" s="3" t="s">
        <v>60</v>
      </c>
      <c r="C1" s="4"/>
      <c r="D1" s="4"/>
      <c r="E1" s="4"/>
      <c r="F1" s="5">
        <v>100000</v>
      </c>
    </row>
    <row r="3" spans="1:7" ht="53.45" customHeight="1" x14ac:dyDescent="0.25">
      <c r="A3" s="6" t="s">
        <v>61</v>
      </c>
      <c r="B3" s="3" t="s">
        <v>62</v>
      </c>
      <c r="C3" s="7" t="s">
        <v>63</v>
      </c>
      <c r="D3" s="7" t="s">
        <v>64</v>
      </c>
      <c r="E3" s="8" t="s">
        <v>65</v>
      </c>
      <c r="F3" s="8" t="s">
        <v>66</v>
      </c>
      <c r="G3" s="9" t="s">
        <v>67</v>
      </c>
    </row>
    <row r="4" spans="1:7" x14ac:dyDescent="0.25">
      <c r="A4" s="10">
        <v>1</v>
      </c>
      <c r="B4" s="11" t="s">
        <v>68</v>
      </c>
      <c r="C4" s="12"/>
      <c r="D4" s="12"/>
      <c r="E4" s="13"/>
      <c r="F4" s="14">
        <f>G4/3000/F1</f>
        <v>0.53544796666666672</v>
      </c>
      <c r="G4" s="15">
        <f>SUM(G6:G8)</f>
        <v>160634390</v>
      </c>
    </row>
    <row r="5" spans="1:7" x14ac:dyDescent="0.25">
      <c r="A5" s="16">
        <v>1.1000000000000001</v>
      </c>
      <c r="B5" s="17" t="s">
        <v>69</v>
      </c>
      <c r="C5" s="18"/>
      <c r="D5" s="18"/>
      <c r="E5" s="19"/>
      <c r="F5" s="20"/>
      <c r="G5" s="21"/>
    </row>
    <row r="6" spans="1:7" ht="71.25" x14ac:dyDescent="0.25">
      <c r="A6" s="22" t="s">
        <v>70</v>
      </c>
      <c r="B6" s="23" t="s">
        <v>71</v>
      </c>
      <c r="C6" s="24" t="s">
        <v>72</v>
      </c>
      <c r="D6" s="25">
        <f>350</f>
        <v>350</v>
      </c>
      <c r="E6" s="26">
        <f>285*2106</f>
        <v>600210</v>
      </c>
      <c r="F6" s="27"/>
      <c r="G6" s="28">
        <f>D6*E6-D6*E6*26%</f>
        <v>155454390</v>
      </c>
    </row>
    <row r="7" spans="1:7" ht="42.75" x14ac:dyDescent="0.25">
      <c r="A7" s="22" t="s">
        <v>73</v>
      </c>
      <c r="B7" s="23" t="s">
        <v>74</v>
      </c>
      <c r="C7" s="24" t="s">
        <v>72</v>
      </c>
      <c r="D7" s="25">
        <f>D6</f>
        <v>350</v>
      </c>
      <c r="E7" s="26">
        <v>20000</v>
      </c>
      <c r="F7" s="27"/>
      <c r="G7" s="28">
        <f>D7*E7-D7*E7*26%</f>
        <v>5180000</v>
      </c>
    </row>
    <row r="8" spans="1:7" x14ac:dyDescent="0.25">
      <c r="A8" s="29"/>
      <c r="B8" s="23"/>
      <c r="C8" s="30"/>
      <c r="D8" s="30"/>
      <c r="E8" s="31"/>
      <c r="F8" s="32"/>
      <c r="G8" s="33"/>
    </row>
    <row r="9" spans="1:7" x14ac:dyDescent="0.25">
      <c r="A9" s="10">
        <v>2</v>
      </c>
      <c r="B9" s="11" t="s">
        <v>75</v>
      </c>
      <c r="C9" s="12"/>
      <c r="D9" s="12"/>
      <c r="E9" s="13"/>
      <c r="F9" s="14">
        <f>G9/3000/F1</f>
        <v>0.16666666666666669</v>
      </c>
      <c r="G9" s="34">
        <f>SUM(G11:G13)</f>
        <v>50000000</v>
      </c>
    </row>
    <row r="10" spans="1:7" x14ac:dyDescent="0.25">
      <c r="A10" s="16">
        <v>2.1</v>
      </c>
      <c r="B10" s="35" t="s">
        <v>76</v>
      </c>
      <c r="C10" s="18"/>
      <c r="D10" s="18"/>
      <c r="E10" s="19"/>
      <c r="F10" s="20"/>
      <c r="G10" s="21"/>
    </row>
    <row r="11" spans="1:7" ht="28.5" x14ac:dyDescent="0.25">
      <c r="A11" s="22" t="s">
        <v>77</v>
      </c>
      <c r="B11" s="23" t="s">
        <v>78</v>
      </c>
      <c r="C11" s="24" t="s">
        <v>72</v>
      </c>
      <c r="D11" s="25">
        <v>1</v>
      </c>
      <c r="E11" s="26">
        <v>35000000</v>
      </c>
      <c r="F11" s="27"/>
      <c r="G11" s="28">
        <f>D11*E11</f>
        <v>35000000</v>
      </c>
    </row>
    <row r="12" spans="1:7" ht="28.5" x14ac:dyDescent="0.25">
      <c r="A12" s="22" t="s">
        <v>79</v>
      </c>
      <c r="B12" s="23" t="s">
        <v>80</v>
      </c>
      <c r="C12" s="24" t="s">
        <v>72</v>
      </c>
      <c r="D12" s="25">
        <v>1</v>
      </c>
      <c r="E12" s="26">
        <v>15000000</v>
      </c>
      <c r="F12" s="36"/>
      <c r="G12" s="28">
        <f>D12*E12</f>
        <v>15000000</v>
      </c>
    </row>
    <row r="13" spans="1:7" x14ac:dyDescent="0.25">
      <c r="A13" s="29"/>
      <c r="B13" s="37"/>
      <c r="C13" s="24"/>
      <c r="D13" s="25"/>
      <c r="E13" s="31"/>
      <c r="F13" s="32"/>
      <c r="G13" s="33"/>
    </row>
    <row r="14" spans="1:7" x14ac:dyDescent="0.25">
      <c r="A14" s="10">
        <v>3</v>
      </c>
      <c r="B14" s="11" t="s">
        <v>81</v>
      </c>
      <c r="C14" s="12"/>
      <c r="D14" s="12"/>
      <c r="E14" s="13"/>
      <c r="F14" s="14">
        <f>G14/3000/F1</f>
        <v>0</v>
      </c>
      <c r="G14" s="15">
        <f>SUM(G16:G19)</f>
        <v>0</v>
      </c>
    </row>
    <row r="15" spans="1:7" x14ac:dyDescent="0.25">
      <c r="A15" s="16">
        <v>3.1</v>
      </c>
      <c r="B15" s="35" t="s">
        <v>82</v>
      </c>
      <c r="C15" s="18"/>
      <c r="D15" s="18"/>
      <c r="E15" s="19"/>
      <c r="F15" s="20"/>
      <c r="G15" s="21"/>
    </row>
    <row r="16" spans="1:7" ht="99.75" x14ac:dyDescent="0.25">
      <c r="A16" s="22" t="s">
        <v>83</v>
      </c>
      <c r="B16" s="23" t="s">
        <v>84</v>
      </c>
      <c r="C16" s="31" t="s">
        <v>72</v>
      </c>
      <c r="D16" s="25">
        <v>0</v>
      </c>
      <c r="E16" s="26">
        <v>0</v>
      </c>
      <c r="F16" s="27"/>
      <c r="G16" s="33">
        <f>D16*E16</f>
        <v>0</v>
      </c>
    </row>
    <row r="17" spans="1:7" ht="71.25" x14ac:dyDescent="0.25">
      <c r="A17" s="22" t="s">
        <v>85</v>
      </c>
      <c r="B17" s="23" t="s">
        <v>86</v>
      </c>
      <c r="C17" s="31" t="s">
        <v>72</v>
      </c>
      <c r="D17" s="25">
        <v>0</v>
      </c>
      <c r="E17" s="26">
        <v>0</v>
      </c>
      <c r="F17" s="27"/>
      <c r="G17" s="33">
        <f>D17*E17</f>
        <v>0</v>
      </c>
    </row>
    <row r="18" spans="1:7" x14ac:dyDescent="0.25">
      <c r="A18" s="22" t="s">
        <v>87</v>
      </c>
      <c r="B18" s="23" t="s">
        <v>88</v>
      </c>
      <c r="C18" s="31" t="s">
        <v>72</v>
      </c>
      <c r="D18" s="38">
        <f>D16</f>
        <v>0</v>
      </c>
      <c r="E18" s="26">
        <v>0</v>
      </c>
      <c r="F18" s="36"/>
      <c r="G18" s="28">
        <f>D18*E18</f>
        <v>0</v>
      </c>
    </row>
    <row r="19" spans="1:7" x14ac:dyDescent="0.25">
      <c r="A19" s="29"/>
      <c r="B19" s="37"/>
      <c r="C19" s="24"/>
      <c r="D19" s="25"/>
      <c r="E19" s="31"/>
      <c r="F19" s="32"/>
      <c r="G19" s="33"/>
    </row>
    <row r="20" spans="1:7" x14ac:dyDescent="0.25">
      <c r="A20" s="10">
        <v>4</v>
      </c>
      <c r="B20" s="11" t="s">
        <v>89</v>
      </c>
      <c r="C20" s="12"/>
      <c r="D20" s="12"/>
      <c r="E20" s="13"/>
      <c r="F20" s="14">
        <f>G20/3000/F1</f>
        <v>0.18390293333333335</v>
      </c>
      <c r="G20" s="15">
        <f>SUM(G22:G24)</f>
        <v>55170880</v>
      </c>
    </row>
    <row r="21" spans="1:7" x14ac:dyDescent="0.25">
      <c r="A21" s="16">
        <v>4.0999999999999996</v>
      </c>
      <c r="B21" s="35" t="s">
        <v>90</v>
      </c>
      <c r="C21" s="18"/>
      <c r="D21" s="18"/>
      <c r="E21" s="19"/>
      <c r="F21" s="20"/>
      <c r="G21" s="21"/>
    </row>
    <row r="22" spans="1:7" ht="114" x14ac:dyDescent="0.25">
      <c r="A22" s="22" t="s">
        <v>91</v>
      </c>
      <c r="B22" s="23" t="s">
        <v>92</v>
      </c>
      <c r="C22" s="31" t="s">
        <v>72</v>
      </c>
      <c r="D22" s="25">
        <v>4</v>
      </c>
      <c r="E22" s="26">
        <v>17828000</v>
      </c>
      <c r="F22" s="27"/>
      <c r="G22" s="28">
        <f>D22*E22-D22*E22*26%</f>
        <v>52770880</v>
      </c>
    </row>
    <row r="23" spans="1:7" x14ac:dyDescent="0.25">
      <c r="A23" s="22" t="s">
        <v>93</v>
      </c>
      <c r="B23" s="23" t="s">
        <v>94</v>
      </c>
      <c r="C23" s="31" t="s">
        <v>72</v>
      </c>
      <c r="D23" s="38">
        <v>4</v>
      </c>
      <c r="E23" s="26">
        <v>600000</v>
      </c>
      <c r="F23" s="36"/>
      <c r="G23" s="33">
        <f>D23*E23</f>
        <v>2400000</v>
      </c>
    </row>
    <row r="24" spans="1:7" x14ac:dyDescent="0.25">
      <c r="A24" s="29"/>
      <c r="B24" s="23"/>
      <c r="C24" s="30"/>
      <c r="D24" s="30"/>
      <c r="E24" s="31"/>
      <c r="F24" s="32"/>
      <c r="G24" s="33"/>
    </row>
    <row r="25" spans="1:7" x14ac:dyDescent="0.25">
      <c r="A25" s="10">
        <v>5</v>
      </c>
      <c r="B25" s="11" t="s">
        <v>95</v>
      </c>
      <c r="C25" s="12"/>
      <c r="D25" s="12"/>
      <c r="E25" s="13"/>
      <c r="F25" s="14">
        <f>G25/3000/F1</f>
        <v>9.4366166666666668E-2</v>
      </c>
      <c r="G25" s="15">
        <f>SUM(G27:G32)</f>
        <v>28309850</v>
      </c>
    </row>
    <row r="26" spans="1:7" x14ac:dyDescent="0.25">
      <c r="A26" s="16">
        <v>5.0999999999999996</v>
      </c>
      <c r="B26" s="35" t="s">
        <v>96</v>
      </c>
      <c r="C26" s="18"/>
      <c r="D26" s="18"/>
      <c r="E26" s="19"/>
      <c r="F26" s="20"/>
      <c r="G26" s="21"/>
    </row>
    <row r="27" spans="1:7" ht="128.25" x14ac:dyDescent="0.25">
      <c r="A27" s="22" t="s">
        <v>97</v>
      </c>
      <c r="B27" s="23" t="s">
        <v>98</v>
      </c>
      <c r="C27" s="31" t="s">
        <v>116</v>
      </c>
      <c r="D27" s="39">
        <v>5575</v>
      </c>
      <c r="E27" s="26">
        <v>4578</v>
      </c>
      <c r="F27" s="27"/>
      <c r="G27" s="33">
        <f>D27*E27</f>
        <v>25522350</v>
      </c>
    </row>
    <row r="28" spans="1:7" x14ac:dyDescent="0.25">
      <c r="A28" s="22" t="s">
        <v>99</v>
      </c>
      <c r="B28" s="23" t="s">
        <v>100</v>
      </c>
      <c r="C28" s="31" t="s">
        <v>116</v>
      </c>
      <c r="D28" s="39">
        <f>D27</f>
        <v>5575</v>
      </c>
      <c r="E28" s="26">
        <v>500</v>
      </c>
      <c r="F28" s="27"/>
      <c r="G28" s="33">
        <f>D28*E28</f>
        <v>2787500</v>
      </c>
    </row>
    <row r="29" spans="1:7" x14ac:dyDescent="0.25">
      <c r="A29" s="22"/>
      <c r="B29" s="23"/>
      <c r="C29" s="31"/>
      <c r="D29" s="39"/>
      <c r="E29" s="40"/>
      <c r="F29" s="27"/>
      <c r="G29" s="33"/>
    </row>
    <row r="30" spans="1:7" x14ac:dyDescent="0.25">
      <c r="A30" s="16">
        <v>5.2</v>
      </c>
      <c r="B30" s="35" t="s">
        <v>101</v>
      </c>
      <c r="C30" s="18"/>
      <c r="D30" s="18"/>
      <c r="E30" s="19"/>
      <c r="F30" s="20"/>
      <c r="G30" s="21"/>
    </row>
    <row r="31" spans="1:7" ht="128.25" x14ac:dyDescent="0.25">
      <c r="A31" s="22" t="s">
        <v>102</v>
      </c>
      <c r="B31" s="23" t="s">
        <v>103</v>
      </c>
      <c r="C31" s="31" t="s">
        <v>116</v>
      </c>
      <c r="D31" s="39">
        <v>0</v>
      </c>
      <c r="E31" s="26">
        <v>0</v>
      </c>
      <c r="F31" s="27"/>
      <c r="G31" s="33">
        <f>D31*E31</f>
        <v>0</v>
      </c>
    </row>
    <row r="32" spans="1:7" x14ac:dyDescent="0.25">
      <c r="A32" s="22" t="s">
        <v>104</v>
      </c>
      <c r="B32" s="23" t="s">
        <v>105</v>
      </c>
      <c r="C32" s="31" t="s">
        <v>116</v>
      </c>
      <c r="D32" s="39">
        <v>0</v>
      </c>
      <c r="E32" s="26">
        <v>0</v>
      </c>
      <c r="F32" s="27"/>
      <c r="G32" s="33">
        <f>D32*E32</f>
        <v>0</v>
      </c>
    </row>
    <row r="33" spans="1:7" x14ac:dyDescent="0.25">
      <c r="A33" s="29"/>
      <c r="B33" s="23"/>
      <c r="C33" s="31"/>
      <c r="D33" s="39"/>
      <c r="E33" s="40"/>
      <c r="F33" s="27"/>
      <c r="G33" s="33"/>
    </row>
    <row r="34" spans="1:7" x14ac:dyDescent="0.25">
      <c r="A34" s="10">
        <v>6</v>
      </c>
      <c r="B34" s="11" t="s">
        <v>106</v>
      </c>
      <c r="C34" s="12"/>
      <c r="D34" s="12"/>
      <c r="E34" s="13"/>
      <c r="F34" s="14">
        <f>G34/3000/F1</f>
        <v>8.3333333333333332E-3</v>
      </c>
      <c r="G34" s="15">
        <f>SUM(G36:G37)</f>
        <v>2500000</v>
      </c>
    </row>
    <row r="35" spans="1:7" x14ac:dyDescent="0.25">
      <c r="A35" s="16">
        <v>6.1</v>
      </c>
      <c r="B35" s="35" t="s">
        <v>107</v>
      </c>
      <c r="C35" s="18"/>
      <c r="D35" s="18"/>
      <c r="E35" s="19"/>
      <c r="F35" s="20"/>
      <c r="G35" s="21"/>
    </row>
    <row r="36" spans="1:7" x14ac:dyDescent="0.25">
      <c r="A36" s="22" t="s">
        <v>108</v>
      </c>
      <c r="B36" s="23" t="s">
        <v>109</v>
      </c>
      <c r="C36" s="31" t="s">
        <v>72</v>
      </c>
      <c r="D36" s="39">
        <v>100</v>
      </c>
      <c r="E36" s="26">
        <f>22000</f>
        <v>22000</v>
      </c>
      <c r="F36" s="27"/>
      <c r="G36" s="33">
        <f>D36*E36</f>
        <v>2200000</v>
      </c>
    </row>
    <row r="37" spans="1:7" x14ac:dyDescent="0.25">
      <c r="A37" s="22" t="s">
        <v>110</v>
      </c>
      <c r="B37" s="23" t="s">
        <v>111</v>
      </c>
      <c r="C37" s="31" t="s">
        <v>72</v>
      </c>
      <c r="D37" s="39">
        <v>100</v>
      </c>
      <c r="E37" s="26">
        <v>3000</v>
      </c>
      <c r="F37" s="27"/>
      <c r="G37" s="33">
        <f>D37*E37</f>
        <v>300000</v>
      </c>
    </row>
    <row r="38" spans="1:7" x14ac:dyDescent="0.25">
      <c r="A38" s="29"/>
      <c r="B38" s="23"/>
      <c r="C38" s="30"/>
      <c r="D38" s="30"/>
      <c r="E38" s="31"/>
      <c r="F38" s="32"/>
      <c r="G38" s="33"/>
    </row>
    <row r="39" spans="1:7" x14ac:dyDescent="0.25">
      <c r="A39" s="10">
        <v>7</v>
      </c>
      <c r="B39" s="11" t="s">
        <v>112</v>
      </c>
      <c r="C39" s="12"/>
      <c r="D39" s="12"/>
      <c r="E39" s="13"/>
      <c r="F39" s="14">
        <f>G39/3000/F1</f>
        <v>4.3733333333333332E-2</v>
      </c>
      <c r="G39" s="15">
        <f>SUM(G41:G42)</f>
        <v>13120000</v>
      </c>
    </row>
    <row r="40" spans="1:7" x14ac:dyDescent="0.25">
      <c r="A40" s="16">
        <v>7.1</v>
      </c>
      <c r="B40" s="35" t="s">
        <v>113</v>
      </c>
      <c r="C40" s="18"/>
      <c r="D40" s="18"/>
      <c r="E40" s="19"/>
      <c r="F40" s="20"/>
      <c r="G40" s="21"/>
    </row>
    <row r="41" spans="1:7" ht="63.75" x14ac:dyDescent="0.25">
      <c r="A41" s="22" t="s">
        <v>114</v>
      </c>
      <c r="B41" s="41" t="s">
        <v>115</v>
      </c>
      <c r="C41" s="42" t="s">
        <v>116</v>
      </c>
      <c r="D41" s="39">
        <f>102.5*2</f>
        <v>205</v>
      </c>
      <c r="E41" s="26">
        <f>120000/2.4+10%*120000/2.4</f>
        <v>55000</v>
      </c>
      <c r="F41" s="27"/>
      <c r="G41" s="33">
        <f>D41*E41</f>
        <v>11275000</v>
      </c>
    </row>
    <row r="42" spans="1:7" ht="63.75" x14ac:dyDescent="0.25">
      <c r="A42" s="22" t="s">
        <v>117</v>
      </c>
      <c r="B42" s="41" t="s">
        <v>118</v>
      </c>
      <c r="C42" s="42" t="s">
        <v>116</v>
      </c>
      <c r="D42" s="39">
        <f>102.5*2</f>
        <v>205</v>
      </c>
      <c r="E42" s="26">
        <v>9000</v>
      </c>
      <c r="F42" s="27"/>
      <c r="G42" s="33">
        <f>D42*E42</f>
        <v>1845000</v>
      </c>
    </row>
    <row r="43" spans="1:7" x14ac:dyDescent="0.25">
      <c r="A43" s="29"/>
      <c r="B43" s="41"/>
      <c r="C43" s="42"/>
      <c r="D43" s="42"/>
      <c r="E43" s="32"/>
      <c r="F43" s="32"/>
      <c r="G43" s="33"/>
    </row>
    <row r="44" spans="1:7" x14ac:dyDescent="0.25">
      <c r="A44" s="10">
        <v>8</v>
      </c>
      <c r="B44" s="11" t="s">
        <v>119</v>
      </c>
      <c r="C44" s="12"/>
      <c r="D44" s="12"/>
      <c r="E44" s="13"/>
      <c r="F44" s="14">
        <f>G44/3000/F1</f>
        <v>1.6583333333333332E-2</v>
      </c>
      <c r="G44" s="15">
        <f>SUM(G46:G47)</f>
        <v>4975000</v>
      </c>
    </row>
    <row r="45" spans="1:7" x14ac:dyDescent="0.25">
      <c r="A45" s="16">
        <v>8.1</v>
      </c>
      <c r="B45" s="35" t="s">
        <v>120</v>
      </c>
      <c r="C45" s="18"/>
      <c r="D45" s="18"/>
      <c r="E45" s="19"/>
      <c r="F45" s="20"/>
      <c r="G45" s="21"/>
    </row>
    <row r="46" spans="1:7" ht="63.75" x14ac:dyDescent="0.25">
      <c r="A46" s="22" t="s">
        <v>121</v>
      </c>
      <c r="B46" s="41" t="s">
        <v>122</v>
      </c>
      <c r="C46" s="42" t="s">
        <v>116</v>
      </c>
      <c r="D46" s="39">
        <v>100</v>
      </c>
      <c r="E46" s="26">
        <f>90000/2.4+90000/2.4*10%</f>
        <v>41250</v>
      </c>
      <c r="F46" s="27"/>
      <c r="G46" s="33">
        <f>D46*E46</f>
        <v>4125000</v>
      </c>
    </row>
    <row r="47" spans="1:7" ht="63.75" x14ac:dyDescent="0.25">
      <c r="A47" s="22" t="s">
        <v>123</v>
      </c>
      <c r="B47" s="41" t="s">
        <v>124</v>
      </c>
      <c r="C47" s="42" t="s">
        <v>116</v>
      </c>
      <c r="D47" s="43">
        <v>100</v>
      </c>
      <c r="E47" s="26">
        <v>8500</v>
      </c>
      <c r="F47" s="27"/>
      <c r="G47" s="33">
        <f>D47*E47</f>
        <v>850000</v>
      </c>
    </row>
    <row r="48" spans="1:7" x14ac:dyDescent="0.25">
      <c r="A48" s="29"/>
      <c r="B48" s="23"/>
      <c r="C48" s="30"/>
      <c r="D48" s="30"/>
      <c r="E48" s="31"/>
      <c r="F48" s="32"/>
      <c r="G48" s="33"/>
    </row>
    <row r="49" spans="1:7" x14ac:dyDescent="0.25">
      <c r="A49" s="10">
        <v>9</v>
      </c>
      <c r="B49" s="11" t="s">
        <v>164</v>
      </c>
      <c r="C49" s="12"/>
      <c r="D49" s="12"/>
      <c r="E49" s="13"/>
      <c r="F49" s="14">
        <f>G49/3000/F1</f>
        <v>4.7999999999999996E-3</v>
      </c>
      <c r="G49" s="15">
        <f>SUM(G55:G56)+SUM(G51:G52)</f>
        <v>1440000</v>
      </c>
    </row>
    <row r="50" spans="1:7" x14ac:dyDescent="0.25">
      <c r="A50" s="16">
        <v>9.1</v>
      </c>
      <c r="B50" s="35" t="s">
        <v>163</v>
      </c>
      <c r="C50" s="18"/>
      <c r="D50" s="18"/>
      <c r="E50" s="19"/>
      <c r="F50" s="20"/>
      <c r="G50" s="21"/>
    </row>
    <row r="51" spans="1:7" ht="28.5" x14ac:dyDescent="0.25">
      <c r="A51" s="22" t="s">
        <v>125</v>
      </c>
      <c r="B51" s="23" t="s">
        <v>165</v>
      </c>
      <c r="C51" s="42" t="s">
        <v>72</v>
      </c>
      <c r="D51" s="43">
        <v>12</v>
      </c>
      <c r="E51" s="26">
        <v>100000</v>
      </c>
      <c r="F51" s="32"/>
      <c r="G51" s="33">
        <f>D51*E51</f>
        <v>1200000</v>
      </c>
    </row>
    <row r="52" spans="1:7" x14ac:dyDescent="0.25">
      <c r="A52" s="22" t="s">
        <v>126</v>
      </c>
      <c r="B52" s="23" t="s">
        <v>166</v>
      </c>
      <c r="C52" s="42" t="s">
        <v>72</v>
      </c>
      <c r="D52" s="44">
        <v>12</v>
      </c>
      <c r="E52" s="26">
        <v>20000</v>
      </c>
      <c r="F52" s="32"/>
      <c r="G52" s="33">
        <f>D52*E52</f>
        <v>240000</v>
      </c>
    </row>
    <row r="53" spans="1:7" x14ac:dyDescent="0.25">
      <c r="A53" s="22"/>
      <c r="B53" s="23"/>
      <c r="C53" s="42"/>
      <c r="D53" s="44"/>
      <c r="E53" s="45"/>
      <c r="F53" s="32"/>
      <c r="G53" s="33"/>
    </row>
    <row r="54" spans="1:7" x14ac:dyDescent="0.25">
      <c r="A54" s="16">
        <v>9.1999999999999993</v>
      </c>
      <c r="B54" s="35" t="s">
        <v>127</v>
      </c>
      <c r="C54" s="18"/>
      <c r="D54" s="18"/>
      <c r="E54" s="19"/>
      <c r="F54" s="20"/>
      <c r="G54" s="21"/>
    </row>
    <row r="55" spans="1:7" x14ac:dyDescent="0.25">
      <c r="A55" s="22" t="s">
        <v>128</v>
      </c>
      <c r="B55" s="23" t="s">
        <v>129</v>
      </c>
      <c r="C55" s="42" t="s">
        <v>72</v>
      </c>
      <c r="D55" s="43">
        <v>0</v>
      </c>
      <c r="E55" s="26">
        <v>1000000</v>
      </c>
      <c r="F55" s="32"/>
      <c r="G55" s="33">
        <f>D55*E55</f>
        <v>0</v>
      </c>
    </row>
    <row r="56" spans="1:7" x14ac:dyDescent="0.25">
      <c r="A56" s="22" t="s">
        <v>130</v>
      </c>
      <c r="B56" s="23" t="s">
        <v>131</v>
      </c>
      <c r="C56" s="42" t="s">
        <v>72</v>
      </c>
      <c r="D56" s="44">
        <v>0</v>
      </c>
      <c r="E56" s="26">
        <v>20000</v>
      </c>
      <c r="F56" s="32"/>
      <c r="G56" s="33">
        <f>D56*E56</f>
        <v>0</v>
      </c>
    </row>
    <row r="57" spans="1:7" x14ac:dyDescent="0.25">
      <c r="A57" s="29"/>
      <c r="B57" s="23"/>
      <c r="C57" s="30"/>
      <c r="D57" s="30"/>
      <c r="E57" s="31"/>
      <c r="F57" s="32"/>
      <c r="G57" s="33"/>
    </row>
    <row r="58" spans="1:7" x14ac:dyDescent="0.25">
      <c r="A58" s="10">
        <v>10</v>
      </c>
      <c r="B58" s="11" t="s">
        <v>167</v>
      </c>
      <c r="C58" s="12"/>
      <c r="D58" s="12"/>
      <c r="E58" s="13"/>
      <c r="F58" s="14">
        <f>G58/3000/F1</f>
        <v>7.4400000000000004E-3</v>
      </c>
      <c r="G58" s="15">
        <f>SUM(G64:G65)+SUM(G60:G61)</f>
        <v>2232000</v>
      </c>
    </row>
    <row r="59" spans="1:7" x14ac:dyDescent="0.25">
      <c r="A59" s="16">
        <v>10.1</v>
      </c>
      <c r="B59" s="35" t="s">
        <v>132</v>
      </c>
      <c r="C59" s="18"/>
      <c r="D59" s="18"/>
      <c r="E59" s="19"/>
      <c r="F59" s="20"/>
      <c r="G59" s="21"/>
    </row>
    <row r="60" spans="1:7" ht="28.5" x14ac:dyDescent="0.25">
      <c r="A60" s="22" t="s">
        <v>133</v>
      </c>
      <c r="B60" s="23" t="s">
        <v>168</v>
      </c>
      <c r="C60" s="42" t="s">
        <v>72</v>
      </c>
      <c r="D60" s="43">
        <v>4</v>
      </c>
      <c r="E60" s="26">
        <v>450000</v>
      </c>
      <c r="F60" s="32"/>
      <c r="G60" s="33">
        <f>D60*E60</f>
        <v>1800000</v>
      </c>
    </row>
    <row r="61" spans="1:7" x14ac:dyDescent="0.25">
      <c r="A61" s="22" t="s">
        <v>134</v>
      </c>
      <c r="B61" s="23" t="s">
        <v>169</v>
      </c>
      <c r="C61" s="42" t="s">
        <v>72</v>
      </c>
      <c r="D61" s="44">
        <v>4</v>
      </c>
      <c r="E61" s="26">
        <v>108000</v>
      </c>
      <c r="F61" s="32"/>
      <c r="G61" s="33">
        <f>D61*E61</f>
        <v>432000</v>
      </c>
    </row>
    <row r="62" spans="1:7" x14ac:dyDescent="0.25">
      <c r="A62" s="22"/>
      <c r="B62" s="23"/>
      <c r="C62" s="42"/>
      <c r="D62" s="44"/>
      <c r="E62" s="45"/>
      <c r="F62" s="32"/>
      <c r="G62" s="33"/>
    </row>
    <row r="63" spans="1:7" x14ac:dyDescent="0.25">
      <c r="A63" s="16">
        <v>10.199999999999999</v>
      </c>
      <c r="B63" s="35" t="s">
        <v>135</v>
      </c>
      <c r="C63" s="18"/>
      <c r="D63" s="18"/>
      <c r="E63" s="19"/>
      <c r="F63" s="20"/>
      <c r="G63" s="21"/>
    </row>
    <row r="64" spans="1:7" x14ac:dyDescent="0.25">
      <c r="A64" s="22" t="s">
        <v>136</v>
      </c>
      <c r="B64" s="23"/>
      <c r="C64" s="42"/>
      <c r="D64" s="43"/>
      <c r="E64" s="26"/>
      <c r="F64" s="32"/>
      <c r="G64" s="33"/>
    </row>
    <row r="65" spans="1:7" x14ac:dyDescent="0.25">
      <c r="A65" s="22" t="s">
        <v>137</v>
      </c>
      <c r="B65" s="23"/>
      <c r="C65" s="42"/>
      <c r="D65" s="44"/>
      <c r="E65" s="26"/>
      <c r="F65" s="32"/>
      <c r="G65" s="33"/>
    </row>
    <row r="66" spans="1:7" x14ac:dyDescent="0.25">
      <c r="A66" s="29"/>
      <c r="B66" s="23"/>
      <c r="C66" s="30"/>
      <c r="D66" s="30"/>
      <c r="E66" s="31"/>
      <c r="F66" s="32"/>
      <c r="G66" s="33"/>
    </row>
    <row r="67" spans="1:7" x14ac:dyDescent="0.25">
      <c r="A67" s="10">
        <v>11</v>
      </c>
      <c r="B67" s="11" t="s">
        <v>138</v>
      </c>
      <c r="C67" s="12"/>
      <c r="D67" s="12"/>
      <c r="E67" s="13"/>
      <c r="F67" s="46">
        <f>G67/3000/F1</f>
        <v>3.6666666666666667E-2</v>
      </c>
      <c r="G67" s="34">
        <f>SUM(G69:G70)</f>
        <v>11000000</v>
      </c>
    </row>
    <row r="68" spans="1:7" x14ac:dyDescent="0.25">
      <c r="A68" s="16">
        <v>11.1</v>
      </c>
      <c r="B68" s="35" t="s">
        <v>139</v>
      </c>
      <c r="C68" s="18"/>
      <c r="D68" s="18"/>
      <c r="E68" s="19"/>
      <c r="F68" s="20"/>
      <c r="G68" s="21"/>
    </row>
    <row r="69" spans="1:7" ht="246.6" customHeight="1" x14ac:dyDescent="0.25">
      <c r="A69" s="22" t="s">
        <v>140</v>
      </c>
      <c r="B69" s="47" t="s">
        <v>141</v>
      </c>
      <c r="C69" s="31" t="s">
        <v>72</v>
      </c>
      <c r="D69" s="25">
        <v>1</v>
      </c>
      <c r="E69" s="26">
        <v>10000000</v>
      </c>
      <c r="F69" s="32"/>
      <c r="G69" s="28">
        <f>D69*E69</f>
        <v>10000000</v>
      </c>
    </row>
    <row r="70" spans="1:7" x14ac:dyDescent="0.25">
      <c r="A70" s="22" t="s">
        <v>142</v>
      </c>
      <c r="B70" s="23" t="s">
        <v>143</v>
      </c>
      <c r="C70" s="31" t="s">
        <v>72</v>
      </c>
      <c r="D70" s="25">
        <v>1</v>
      </c>
      <c r="E70" s="26">
        <v>1000000</v>
      </c>
      <c r="F70" s="32"/>
      <c r="G70" s="28">
        <f>D70*E70</f>
        <v>1000000</v>
      </c>
    </row>
    <row r="71" spans="1:7" x14ac:dyDescent="0.25">
      <c r="A71" s="29"/>
      <c r="B71" s="23"/>
      <c r="C71" s="31"/>
      <c r="D71" s="25"/>
      <c r="E71" s="32"/>
      <c r="F71" s="32"/>
      <c r="G71" s="28"/>
    </row>
    <row r="72" spans="1:7" x14ac:dyDescent="0.25">
      <c r="A72" s="10">
        <v>12</v>
      </c>
      <c r="B72" s="11" t="s">
        <v>144</v>
      </c>
      <c r="C72" s="12"/>
      <c r="D72" s="12"/>
      <c r="E72" s="13"/>
      <c r="F72" s="46">
        <f>G72/3000/F1</f>
        <v>3.5000000000000003E-2</v>
      </c>
      <c r="G72" s="15">
        <f>SUM(G74:G75)</f>
        <v>10500000</v>
      </c>
    </row>
    <row r="73" spans="1:7" x14ac:dyDescent="0.25">
      <c r="A73" s="16">
        <v>12.1</v>
      </c>
      <c r="B73" s="35" t="s">
        <v>145</v>
      </c>
      <c r="C73" s="18"/>
      <c r="D73" s="18"/>
      <c r="E73" s="19"/>
      <c r="F73" s="20"/>
      <c r="G73" s="21"/>
    </row>
    <row r="74" spans="1:7" ht="71.25" x14ac:dyDescent="0.25">
      <c r="A74" s="22" t="s">
        <v>146</v>
      </c>
      <c r="B74" s="23" t="s">
        <v>147</v>
      </c>
      <c r="C74" s="24" t="s">
        <v>72</v>
      </c>
      <c r="D74" s="25">
        <v>1</v>
      </c>
      <c r="E74" s="26">
        <v>10000000</v>
      </c>
      <c r="F74" s="32"/>
      <c r="G74" s="33">
        <f>D74*E74</f>
        <v>10000000</v>
      </c>
    </row>
    <row r="75" spans="1:7" x14ac:dyDescent="0.25">
      <c r="A75" s="22" t="s">
        <v>146</v>
      </c>
      <c r="B75" s="23" t="s">
        <v>148</v>
      </c>
      <c r="C75" s="24" t="s">
        <v>72</v>
      </c>
      <c r="D75" s="25">
        <v>1</v>
      </c>
      <c r="E75" s="26">
        <v>500000</v>
      </c>
      <c r="F75" s="32"/>
      <c r="G75" s="33">
        <f>D75*E75</f>
        <v>500000</v>
      </c>
    </row>
    <row r="76" spans="1:7" x14ac:dyDescent="0.25">
      <c r="A76" s="29"/>
      <c r="B76" s="23"/>
      <c r="C76" s="30"/>
      <c r="D76" s="30"/>
      <c r="E76" s="31"/>
      <c r="F76" s="32"/>
      <c r="G76" s="33"/>
    </row>
    <row r="77" spans="1:7" x14ac:dyDescent="0.25">
      <c r="A77" s="10">
        <v>13</v>
      </c>
      <c r="B77" s="48" t="s">
        <v>149</v>
      </c>
      <c r="C77" s="12"/>
      <c r="D77" s="49"/>
      <c r="E77" s="50"/>
      <c r="F77" s="46">
        <f>G77/3000/F1</f>
        <v>4.7999999999999996E-3</v>
      </c>
      <c r="G77" s="15">
        <f>SUM(G78:G79)</f>
        <v>1440000</v>
      </c>
    </row>
    <row r="78" spans="1:7" s="83" customFormat="1" x14ac:dyDescent="0.25">
      <c r="A78" s="22">
        <v>13.1</v>
      </c>
      <c r="B78" s="51" t="s">
        <v>150</v>
      </c>
      <c r="C78" s="24" t="s">
        <v>72</v>
      </c>
      <c r="D78" s="52">
        <v>1</v>
      </c>
      <c r="E78" s="26">
        <v>800000</v>
      </c>
      <c r="F78" s="32"/>
      <c r="G78" s="53">
        <f>E78*D78</f>
        <v>800000</v>
      </c>
    </row>
    <row r="79" spans="1:7" ht="51" x14ac:dyDescent="0.25">
      <c r="A79" s="54">
        <v>13.2</v>
      </c>
      <c r="B79" s="51" t="s">
        <v>151</v>
      </c>
      <c r="C79" s="55" t="s">
        <v>116</v>
      </c>
      <c r="D79" s="56">
        <v>40</v>
      </c>
      <c r="E79" s="26">
        <v>16000</v>
      </c>
      <c r="F79" s="57"/>
      <c r="G79" s="53">
        <f>D79*E79</f>
        <v>640000</v>
      </c>
    </row>
    <row r="80" spans="1:7" x14ac:dyDescent="0.25">
      <c r="A80" s="54"/>
      <c r="B80" s="51"/>
      <c r="C80" s="55"/>
      <c r="D80" s="56"/>
      <c r="E80" s="58"/>
      <c r="F80" s="59"/>
      <c r="G80" s="60"/>
    </row>
    <row r="81" spans="1:9" x14ac:dyDescent="0.25">
      <c r="A81" s="10">
        <v>14</v>
      </c>
      <c r="B81" s="48" t="s">
        <v>152</v>
      </c>
      <c r="C81" s="61"/>
      <c r="D81" s="62"/>
      <c r="E81" s="63"/>
      <c r="F81" s="46">
        <f>SUM(F4:F79)</f>
        <v>1.1377403999999998</v>
      </c>
      <c r="G81" s="64">
        <f>G4+G9+G14+G20+G34+G39+G44+G49+G58+G25+G67+G72+G77</f>
        <v>341322120</v>
      </c>
      <c r="I81" s="84"/>
    </row>
    <row r="82" spans="1:9" x14ac:dyDescent="0.25">
      <c r="A82" s="10">
        <v>15</v>
      </c>
      <c r="B82" s="48" t="s">
        <v>153</v>
      </c>
      <c r="C82" s="61"/>
      <c r="D82" s="65">
        <v>0.19</v>
      </c>
      <c r="E82" s="63"/>
      <c r="F82" s="46"/>
      <c r="G82" s="64">
        <f>SUM(G7+G12+G18+G23+G28+G32+G37+G42+G47+G52+G61+G70+G75+G79)*D82</f>
        <v>5923155</v>
      </c>
    </row>
    <row r="83" spans="1:9" x14ac:dyDescent="0.25">
      <c r="A83" s="10">
        <v>16</v>
      </c>
      <c r="B83" s="48" t="s">
        <v>154</v>
      </c>
      <c r="C83" s="61"/>
      <c r="D83" s="66">
        <v>0.04</v>
      </c>
      <c r="E83" s="67">
        <f>SUM(G81:G82)</f>
        <v>347245275</v>
      </c>
      <c r="F83" s="46"/>
      <c r="G83" s="64">
        <f>D83*E83</f>
        <v>13889811</v>
      </c>
    </row>
    <row r="84" spans="1:9" x14ac:dyDescent="0.25">
      <c r="A84" s="10">
        <v>17</v>
      </c>
      <c r="B84" s="48" t="s">
        <v>155</v>
      </c>
      <c r="C84" s="61"/>
      <c r="D84" s="66">
        <v>0.05</v>
      </c>
      <c r="E84" s="67">
        <f>SUM(G81:G82)</f>
        <v>347245275</v>
      </c>
      <c r="F84" s="46"/>
      <c r="G84" s="64">
        <f>D84*E84</f>
        <v>17362263.75</v>
      </c>
    </row>
    <row r="85" spans="1:9" x14ac:dyDescent="0.25">
      <c r="A85" s="68">
        <v>18</v>
      </c>
      <c r="B85" s="69" t="s">
        <v>156</v>
      </c>
      <c r="C85" s="70"/>
      <c r="D85" s="71"/>
      <c r="E85" s="67">
        <v>2000000</v>
      </c>
      <c r="F85" s="72"/>
      <c r="G85" s="64">
        <f>E85</f>
        <v>2000000</v>
      </c>
    </row>
    <row r="86" spans="1:9" x14ac:dyDescent="0.25">
      <c r="A86" s="68">
        <v>19</v>
      </c>
      <c r="B86" s="69" t="s">
        <v>157</v>
      </c>
      <c r="C86" s="70"/>
      <c r="D86" s="71"/>
      <c r="E86" s="67">
        <v>7000000</v>
      </c>
      <c r="F86" s="72"/>
      <c r="G86" s="64">
        <f>E86</f>
        <v>7000000</v>
      </c>
    </row>
    <row r="87" spans="1:9" ht="15.75" thickBot="1" x14ac:dyDescent="0.3">
      <c r="A87" s="73">
        <v>20</v>
      </c>
      <c r="B87" s="74" t="s">
        <v>158</v>
      </c>
      <c r="C87" s="74"/>
      <c r="D87" s="75"/>
      <c r="E87" s="76">
        <f>SUM(G81:G82)</f>
        <v>347245275</v>
      </c>
      <c r="F87" s="77">
        <f>G87/F1/3000</f>
        <v>1.2916578325000001</v>
      </c>
      <c r="G87" s="78">
        <f>SUM(G81:G86)</f>
        <v>387497349.75</v>
      </c>
    </row>
    <row r="88" spans="1:9" x14ac:dyDescent="0.25">
      <c r="A88" s="10">
        <v>21</v>
      </c>
      <c r="B88" s="48" t="s">
        <v>162</v>
      </c>
      <c r="C88" s="61"/>
      <c r="D88" s="65">
        <v>0.05</v>
      </c>
      <c r="E88" s="64">
        <f>SUM(G81)</f>
        <v>341322120</v>
      </c>
      <c r="F88" s="46"/>
      <c r="G88" s="79">
        <f>D88*E88</f>
        <v>17066106</v>
      </c>
    </row>
    <row r="89" spans="1:9" ht="15.75" thickBot="1" x14ac:dyDescent="0.3">
      <c r="A89" s="73">
        <v>22</v>
      </c>
      <c r="B89" s="74" t="s">
        <v>159</v>
      </c>
      <c r="C89" s="74"/>
      <c r="D89" s="74"/>
      <c r="E89" s="74"/>
      <c r="F89" s="77">
        <f>G89/F1/3000</f>
        <v>1.3485448525000001</v>
      </c>
      <c r="G89" s="78">
        <f>SUM(G87+G88)</f>
        <v>404563455.75</v>
      </c>
    </row>
    <row r="90" spans="1:9" x14ac:dyDescent="0.25">
      <c r="A90" s="10">
        <v>23</v>
      </c>
      <c r="B90" s="48" t="s">
        <v>160</v>
      </c>
      <c r="C90" s="80"/>
      <c r="D90" s="81">
        <v>0.19</v>
      </c>
      <c r="E90" s="64">
        <f>SUM(E88)</f>
        <v>341322120</v>
      </c>
      <c r="F90" s="82"/>
      <c r="G90" s="79">
        <f>D90*E90</f>
        <v>64851202.800000004</v>
      </c>
    </row>
    <row r="91" spans="1:9" ht="15.75" thickBot="1" x14ac:dyDescent="0.3">
      <c r="A91" s="73">
        <v>24</v>
      </c>
      <c r="B91" s="74" t="s">
        <v>161</v>
      </c>
      <c r="C91" s="74"/>
      <c r="D91" s="74"/>
      <c r="E91" s="74"/>
      <c r="F91" s="77">
        <f>G91/F1/3000</f>
        <v>1.5647155284999998</v>
      </c>
      <c r="G91" s="78">
        <f>SUM(G89:G90)</f>
        <v>469414658.55000001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9AC4-3181-46DB-A10D-664204E12E70}">
  <sheetPr>
    <tabColor theme="5" tint="0.39997558519241921"/>
  </sheetPr>
  <dimension ref="A1:X58"/>
  <sheetViews>
    <sheetView zoomScale="70" zoomScaleNormal="70" workbookViewId="0">
      <selection activeCell="B32" sqref="B32"/>
    </sheetView>
  </sheetViews>
  <sheetFormatPr baseColWidth="10" defaultColWidth="9.140625" defaultRowHeight="15" x14ac:dyDescent="0.25"/>
  <cols>
    <col min="1" max="1" width="2.5703125" style="87" bestFit="1" customWidth="1"/>
    <col min="2" max="2" width="66" style="85" bestFit="1" customWidth="1"/>
    <col min="3" max="3" width="9.7109375" style="87" bestFit="1" customWidth="1"/>
    <col min="4" max="4" width="18.7109375" style="87" bestFit="1" customWidth="1"/>
    <col min="5" max="6" width="17.85546875" style="87" bestFit="1" customWidth="1"/>
    <col min="7" max="7" width="18.28515625" style="87" bestFit="1" customWidth="1"/>
    <col min="8" max="8" width="18.7109375" style="87" bestFit="1" customWidth="1"/>
    <col min="9" max="9" width="17.42578125" style="87" bestFit="1" customWidth="1"/>
    <col min="10" max="10" width="17.140625" style="87" bestFit="1" customWidth="1"/>
    <col min="11" max="11" width="18.28515625" style="87" bestFit="1" customWidth="1"/>
    <col min="12" max="12" width="17.85546875" style="87" bestFit="1" customWidth="1"/>
    <col min="13" max="13" width="17.42578125" style="87" bestFit="1" customWidth="1"/>
    <col min="14" max="14" width="17.140625" style="87" bestFit="1" customWidth="1"/>
    <col min="15" max="16" width="17.42578125" style="87" bestFit="1" customWidth="1"/>
    <col min="17" max="17" width="17.140625" style="87" bestFit="1" customWidth="1"/>
    <col min="18" max="18" width="16.5703125" style="87" bestFit="1" customWidth="1"/>
    <col min="19" max="19" width="16" style="87" bestFit="1" customWidth="1"/>
    <col min="20" max="20" width="16.85546875" style="87" bestFit="1" customWidth="1"/>
    <col min="21" max="21" width="16.5703125" style="87" bestFit="1" customWidth="1"/>
    <col min="22" max="22" width="16.85546875" style="87" bestFit="1" customWidth="1"/>
    <col min="23" max="24" width="16.42578125" style="87" bestFit="1" customWidth="1"/>
    <col min="25" max="16384" width="9.140625" style="87"/>
  </cols>
  <sheetData>
    <row r="1" spans="2:4" x14ac:dyDescent="0.25">
      <c r="B1" s="85" t="s">
        <v>1</v>
      </c>
      <c r="C1" s="86" t="s">
        <v>9</v>
      </c>
      <c r="D1" s="87">
        <v>100</v>
      </c>
    </row>
    <row r="2" spans="2:4" x14ac:dyDescent="0.25">
      <c r="B2" s="85" t="s">
        <v>170</v>
      </c>
      <c r="C2" s="86" t="s">
        <v>171</v>
      </c>
      <c r="D2" s="87">
        <v>4</v>
      </c>
    </row>
    <row r="3" spans="2:4" x14ac:dyDescent="0.25">
      <c r="B3" s="85" t="s">
        <v>5</v>
      </c>
      <c r="C3" s="86" t="s">
        <v>11</v>
      </c>
      <c r="D3" s="88">
        <f>D1*D2*365</f>
        <v>146000</v>
      </c>
    </row>
    <row r="4" spans="2:4" x14ac:dyDescent="0.25">
      <c r="B4" s="85" t="s">
        <v>41</v>
      </c>
      <c r="C4" s="86" t="s">
        <v>10</v>
      </c>
      <c r="D4" s="1">
        <v>0.01</v>
      </c>
    </row>
    <row r="5" spans="2:4" x14ac:dyDescent="0.25">
      <c r="C5" s="86"/>
      <c r="D5" s="88"/>
    </row>
    <row r="6" spans="2:4" x14ac:dyDescent="0.25">
      <c r="C6" s="86"/>
    </row>
    <row r="7" spans="2:4" x14ac:dyDescent="0.25">
      <c r="B7" s="85" t="s">
        <v>2</v>
      </c>
      <c r="C7" s="86" t="s">
        <v>12</v>
      </c>
      <c r="D7" s="88">
        <v>4000000</v>
      </c>
    </row>
    <row r="8" spans="2:4" x14ac:dyDescent="0.25">
      <c r="B8" s="85" t="s">
        <v>0</v>
      </c>
      <c r="C8" s="86" t="s">
        <v>13</v>
      </c>
      <c r="D8" s="87">
        <f>D1*D7</f>
        <v>400000000</v>
      </c>
    </row>
    <row r="9" spans="2:4" x14ac:dyDescent="0.25">
      <c r="B9" s="85" t="s">
        <v>3</v>
      </c>
      <c r="C9" s="86" t="s">
        <v>38</v>
      </c>
      <c r="D9" s="87">
        <f>1%*D8</f>
        <v>4000000</v>
      </c>
    </row>
    <row r="10" spans="2:4" x14ac:dyDescent="0.25">
      <c r="B10" s="85" t="s">
        <v>4</v>
      </c>
      <c r="C10" s="86" t="s">
        <v>38</v>
      </c>
      <c r="D10" s="87">
        <f>D8*0.1%</f>
        <v>400000</v>
      </c>
    </row>
    <row r="11" spans="2:4" x14ac:dyDescent="0.25">
      <c r="B11" s="85" t="s">
        <v>39</v>
      </c>
      <c r="C11" s="86" t="s">
        <v>13</v>
      </c>
      <c r="D11" s="87">
        <f>10%*D8</f>
        <v>40000000</v>
      </c>
    </row>
    <row r="12" spans="2:4" x14ac:dyDescent="0.25">
      <c r="B12" s="85" t="s">
        <v>54</v>
      </c>
      <c r="C12" s="86" t="s">
        <v>13</v>
      </c>
      <c r="D12" s="87">
        <f>D8/5</f>
        <v>80000000</v>
      </c>
    </row>
    <row r="13" spans="2:4" x14ac:dyDescent="0.25">
      <c r="B13" s="85" t="s">
        <v>172</v>
      </c>
      <c r="C13" s="86" t="s">
        <v>13</v>
      </c>
      <c r="D13" s="87">
        <f>D8/5*50%</f>
        <v>40000000</v>
      </c>
    </row>
    <row r="14" spans="2:4" x14ac:dyDescent="0.25">
      <c r="C14" s="86"/>
    </row>
    <row r="15" spans="2:4" x14ac:dyDescent="0.25">
      <c r="B15" s="85" t="s">
        <v>8</v>
      </c>
      <c r="C15" s="86" t="s">
        <v>14</v>
      </c>
      <c r="D15" s="87">
        <v>460</v>
      </c>
    </row>
    <row r="16" spans="2:4" x14ac:dyDescent="0.25">
      <c r="C16" s="86"/>
    </row>
    <row r="17" spans="1:24" x14ac:dyDescent="0.25">
      <c r="B17" s="85" t="s">
        <v>6</v>
      </c>
      <c r="C17" s="86" t="s">
        <v>10</v>
      </c>
      <c r="D17" s="1">
        <v>0.04</v>
      </c>
    </row>
    <row r="18" spans="1:24" x14ac:dyDescent="0.25">
      <c r="B18" s="85" t="s">
        <v>7</v>
      </c>
      <c r="C18" s="86" t="s">
        <v>10</v>
      </c>
      <c r="D18" s="1">
        <v>0.03</v>
      </c>
    </row>
    <row r="19" spans="1:24" x14ac:dyDescent="0.25">
      <c r="B19" s="85" t="s">
        <v>50</v>
      </c>
      <c r="C19" s="86" t="s">
        <v>10</v>
      </c>
      <c r="D19" s="1">
        <v>0.12</v>
      </c>
    </row>
    <row r="20" spans="1:24" x14ac:dyDescent="0.25">
      <c r="B20" s="85" t="s">
        <v>56</v>
      </c>
      <c r="C20" s="86" t="s">
        <v>10</v>
      </c>
      <c r="D20" s="1">
        <v>0.33</v>
      </c>
    </row>
    <row r="21" spans="1:24" x14ac:dyDescent="0.25">
      <c r="C21" s="86"/>
    </row>
    <row r="22" spans="1:24" x14ac:dyDescent="0.25">
      <c r="B22" s="85" t="s">
        <v>42</v>
      </c>
      <c r="C22" s="86" t="s">
        <v>38</v>
      </c>
      <c r="D22" s="89">
        <v>0</v>
      </c>
    </row>
    <row r="25" spans="1:24" x14ac:dyDescent="0.25">
      <c r="D25" s="86" t="s">
        <v>17</v>
      </c>
      <c r="E25" s="86" t="s">
        <v>18</v>
      </c>
      <c r="F25" s="86" t="s">
        <v>19</v>
      </c>
      <c r="G25" s="86" t="s">
        <v>20</v>
      </c>
      <c r="H25" s="86" t="s">
        <v>21</v>
      </c>
      <c r="I25" s="86" t="s">
        <v>22</v>
      </c>
      <c r="J25" s="86" t="s">
        <v>23</v>
      </c>
      <c r="K25" s="86" t="s">
        <v>24</v>
      </c>
      <c r="L25" s="86" t="s">
        <v>25</v>
      </c>
      <c r="M25" s="86" t="s">
        <v>26</v>
      </c>
      <c r="N25" s="86" t="s">
        <v>27</v>
      </c>
      <c r="O25" s="86" t="s">
        <v>28</v>
      </c>
      <c r="P25" s="86" t="s">
        <v>29</v>
      </c>
      <c r="Q25" s="86" t="s">
        <v>30</v>
      </c>
      <c r="R25" s="86" t="s">
        <v>31</v>
      </c>
      <c r="S25" s="86" t="s">
        <v>32</v>
      </c>
      <c r="T25" s="86" t="s">
        <v>33</v>
      </c>
      <c r="U25" s="86" t="s">
        <v>34</v>
      </c>
      <c r="V25" s="86" t="s">
        <v>35</v>
      </c>
      <c r="W25" s="86" t="s">
        <v>36</v>
      </c>
      <c r="X25" s="86" t="s">
        <v>37</v>
      </c>
    </row>
    <row r="26" spans="1:24" s="86" customFormat="1" x14ac:dyDescent="0.25">
      <c r="B26" s="85"/>
      <c r="D26" s="86">
        <v>0</v>
      </c>
      <c r="E26" s="86">
        <v>1</v>
      </c>
      <c r="F26" s="86">
        <v>2</v>
      </c>
      <c r="G26" s="86">
        <v>3</v>
      </c>
      <c r="H26" s="86">
        <v>4</v>
      </c>
      <c r="I26" s="86">
        <v>5</v>
      </c>
      <c r="J26" s="86">
        <v>6</v>
      </c>
      <c r="K26" s="86">
        <v>7</v>
      </c>
      <c r="L26" s="86">
        <v>8</v>
      </c>
      <c r="M26" s="86">
        <v>9</v>
      </c>
      <c r="N26" s="86">
        <v>10</v>
      </c>
      <c r="O26" s="86">
        <v>11</v>
      </c>
      <c r="P26" s="86">
        <v>12</v>
      </c>
      <c r="Q26" s="86">
        <v>13</v>
      </c>
      <c r="R26" s="86">
        <v>14</v>
      </c>
      <c r="S26" s="86">
        <v>15</v>
      </c>
      <c r="T26" s="86">
        <v>16</v>
      </c>
      <c r="U26" s="86">
        <v>17</v>
      </c>
      <c r="V26" s="86">
        <v>18</v>
      </c>
      <c r="W26" s="86">
        <v>19</v>
      </c>
      <c r="X26" s="86">
        <v>20</v>
      </c>
    </row>
    <row r="27" spans="1:24" x14ac:dyDescent="0.25">
      <c r="A27" s="86" t="s">
        <v>45</v>
      </c>
      <c r="B27" s="85" t="s">
        <v>15</v>
      </c>
      <c r="D27" s="87">
        <f>-D8</f>
        <v>-400000000</v>
      </c>
    </row>
    <row r="28" spans="1:24" x14ac:dyDescent="0.25">
      <c r="A28" s="86"/>
      <c r="B28" s="85" t="s">
        <v>40</v>
      </c>
      <c r="E28" s="87">
        <f>D3</f>
        <v>146000</v>
      </c>
      <c r="F28" s="87">
        <f t="shared" ref="F28:X28" si="0">E28-E28*$D$4</f>
        <v>144540</v>
      </c>
      <c r="G28" s="87">
        <f t="shared" si="0"/>
        <v>143094.6</v>
      </c>
      <c r="H28" s="87">
        <f t="shared" si="0"/>
        <v>141663.65400000001</v>
      </c>
      <c r="I28" s="87">
        <f t="shared" si="0"/>
        <v>140247.01746</v>
      </c>
      <c r="J28" s="87">
        <f t="shared" si="0"/>
        <v>138844.54728540001</v>
      </c>
      <c r="K28" s="87">
        <f t="shared" si="0"/>
        <v>137456.10181254603</v>
      </c>
      <c r="L28" s="87">
        <f t="shared" si="0"/>
        <v>136081.54079442055</v>
      </c>
      <c r="M28" s="87">
        <f t="shared" si="0"/>
        <v>134720.72538647635</v>
      </c>
      <c r="N28" s="87">
        <f t="shared" si="0"/>
        <v>133373.51813261159</v>
      </c>
      <c r="O28" s="87">
        <f t="shared" si="0"/>
        <v>132039.78295128548</v>
      </c>
      <c r="P28" s="87">
        <f t="shared" si="0"/>
        <v>130719.38512177262</v>
      </c>
      <c r="Q28" s="87">
        <f t="shared" si="0"/>
        <v>129412.19127055489</v>
      </c>
      <c r="R28" s="87">
        <f t="shared" si="0"/>
        <v>128118.06935784934</v>
      </c>
      <c r="S28" s="87">
        <f t="shared" si="0"/>
        <v>126836.88866427084</v>
      </c>
      <c r="T28" s="87">
        <f t="shared" si="0"/>
        <v>125568.51977762813</v>
      </c>
      <c r="U28" s="87">
        <f t="shared" si="0"/>
        <v>124312.83457985184</v>
      </c>
      <c r="V28" s="87">
        <f t="shared" si="0"/>
        <v>123069.70623405333</v>
      </c>
      <c r="W28" s="87">
        <f t="shared" si="0"/>
        <v>121839.00917171279</v>
      </c>
      <c r="X28" s="87">
        <f t="shared" si="0"/>
        <v>120620.61907999567</v>
      </c>
    </row>
    <row r="29" spans="1:24" x14ac:dyDescent="0.25">
      <c r="A29" s="86"/>
      <c r="B29" s="85" t="s">
        <v>8</v>
      </c>
      <c r="E29" s="87">
        <f>D15</f>
        <v>460</v>
      </c>
      <c r="F29" s="87">
        <f t="shared" ref="F29:X29" si="1">E29+E29*$D$18</f>
        <v>473.8</v>
      </c>
      <c r="G29" s="87">
        <f t="shared" si="1"/>
        <v>488.01400000000001</v>
      </c>
      <c r="H29" s="87">
        <f t="shared" si="1"/>
        <v>502.65442000000002</v>
      </c>
      <c r="I29" s="87">
        <f t="shared" si="1"/>
        <v>517.73405260000004</v>
      </c>
      <c r="J29" s="87">
        <f t="shared" si="1"/>
        <v>533.26607417800005</v>
      </c>
      <c r="K29" s="87">
        <f t="shared" si="1"/>
        <v>549.26405640334008</v>
      </c>
      <c r="L29" s="87">
        <f t="shared" si="1"/>
        <v>565.74197809544023</v>
      </c>
      <c r="M29" s="87">
        <f t="shared" si="1"/>
        <v>582.71423743830348</v>
      </c>
      <c r="N29" s="87">
        <f t="shared" si="1"/>
        <v>600.19566456145253</v>
      </c>
      <c r="O29" s="87">
        <f t="shared" si="1"/>
        <v>618.20153449829616</v>
      </c>
      <c r="P29" s="87">
        <f t="shared" si="1"/>
        <v>636.74758053324501</v>
      </c>
      <c r="Q29" s="87">
        <f t="shared" si="1"/>
        <v>655.85000794924235</v>
      </c>
      <c r="R29" s="87">
        <f t="shared" si="1"/>
        <v>675.52550818771965</v>
      </c>
      <c r="S29" s="87">
        <f t="shared" si="1"/>
        <v>695.79127343335119</v>
      </c>
      <c r="T29" s="87">
        <f t="shared" si="1"/>
        <v>716.66501163635178</v>
      </c>
      <c r="U29" s="87">
        <f t="shared" si="1"/>
        <v>738.16496198544235</v>
      </c>
      <c r="V29" s="87">
        <f t="shared" si="1"/>
        <v>760.30991084500556</v>
      </c>
      <c r="W29" s="87">
        <f t="shared" si="1"/>
        <v>783.11920817035571</v>
      </c>
      <c r="X29" s="87">
        <f t="shared" si="1"/>
        <v>806.61278441546642</v>
      </c>
    </row>
    <row r="30" spans="1:24" x14ac:dyDescent="0.25">
      <c r="A30" s="86" t="s">
        <v>46</v>
      </c>
      <c r="B30" s="85" t="s">
        <v>16</v>
      </c>
      <c r="E30" s="87">
        <f>E28*E29</f>
        <v>67160000</v>
      </c>
      <c r="F30" s="87">
        <f>F28*F29</f>
        <v>68483052</v>
      </c>
      <c r="G30" s="87">
        <f>G28*G29</f>
        <v>69832168.124400005</v>
      </c>
      <c r="H30" s="87">
        <f t="shared" ref="H30:X30" si="2">H28*H29</f>
        <v>71207861.836450681</v>
      </c>
      <c r="I30" s="87">
        <f t="shared" si="2"/>
        <v>72610656.714628771</v>
      </c>
      <c r="J30" s="87">
        <f t="shared" si="2"/>
        <v>74041086.651906952</v>
      </c>
      <c r="K30" s="87">
        <f t="shared" si="2"/>
        <v>75499696.05894953</v>
      </c>
      <c r="L30" s="87">
        <f t="shared" si="2"/>
        <v>76987040.071310833</v>
      </c>
      <c r="M30" s="87">
        <f t="shared" si="2"/>
        <v>78503684.760715663</v>
      </c>
      <c r="N30" s="87">
        <f t="shared" si="2"/>
        <v>80050207.350501746</v>
      </c>
      <c r="O30" s="87">
        <f t="shared" si="2"/>
        <v>81627196.435306653</v>
      </c>
      <c r="P30" s="87">
        <f t="shared" si="2"/>
        <v>83235252.205082178</v>
      </c>
      <c r="Q30" s="87">
        <f t="shared" si="2"/>
        <v>84874986.673522294</v>
      </c>
      <c r="R30" s="87">
        <f t="shared" si="2"/>
        <v>86547023.910990685</v>
      </c>
      <c r="S30" s="87">
        <f t="shared" si="2"/>
        <v>88252000.282037199</v>
      </c>
      <c r="T30" s="87">
        <f t="shared" si="2"/>
        <v>89990564.687593326</v>
      </c>
      <c r="U30" s="87">
        <f t="shared" si="2"/>
        <v>91763378.811938912</v>
      </c>
      <c r="V30" s="87">
        <f t="shared" si="2"/>
        <v>93571117.374534115</v>
      </c>
      <c r="W30" s="87">
        <f t="shared" si="2"/>
        <v>95414468.386812434</v>
      </c>
      <c r="X30" s="87">
        <f t="shared" si="2"/>
        <v>97294133.414032638</v>
      </c>
    </row>
    <row r="31" spans="1:24" x14ac:dyDescent="0.25">
      <c r="A31" s="86"/>
    </row>
    <row r="32" spans="1:24" x14ac:dyDescent="0.25">
      <c r="A32" s="86" t="s">
        <v>45</v>
      </c>
      <c r="B32" s="85" t="s">
        <v>43</v>
      </c>
      <c r="E32" s="87">
        <f>-D9</f>
        <v>-4000000</v>
      </c>
      <c r="F32" s="87">
        <f t="shared" ref="F32:X32" si="3">E32+E32*$D$17</f>
        <v>-4160000</v>
      </c>
      <c r="G32" s="87">
        <f t="shared" si="3"/>
        <v>-4326400</v>
      </c>
      <c r="H32" s="87">
        <f t="shared" si="3"/>
        <v>-4499456</v>
      </c>
      <c r="I32" s="87">
        <f t="shared" si="3"/>
        <v>-4679434.2400000002</v>
      </c>
      <c r="J32" s="87">
        <f t="shared" si="3"/>
        <v>-4866611.6096000001</v>
      </c>
      <c r="K32" s="87">
        <f t="shared" si="3"/>
        <v>-5061276.0739839999</v>
      </c>
      <c r="L32" s="87">
        <f t="shared" si="3"/>
        <v>-5263727.1169433603</v>
      </c>
      <c r="M32" s="87">
        <f t="shared" si="3"/>
        <v>-5474276.2016210947</v>
      </c>
      <c r="N32" s="87">
        <f t="shared" si="3"/>
        <v>-5693247.2496859385</v>
      </c>
      <c r="O32" s="87">
        <f t="shared" si="3"/>
        <v>-5920977.1396733765</v>
      </c>
      <c r="P32" s="87">
        <f t="shared" si="3"/>
        <v>-6157816.2252603117</v>
      </c>
      <c r="Q32" s="87">
        <f t="shared" si="3"/>
        <v>-6404128.8742707241</v>
      </c>
      <c r="R32" s="87">
        <f t="shared" si="3"/>
        <v>-6660294.0292415535</v>
      </c>
      <c r="S32" s="87">
        <f t="shared" si="3"/>
        <v>-6926705.7904112153</v>
      </c>
      <c r="T32" s="87">
        <f t="shared" si="3"/>
        <v>-7203774.0220276639</v>
      </c>
      <c r="U32" s="87">
        <f t="shared" si="3"/>
        <v>-7491924.9829087704</v>
      </c>
      <c r="V32" s="87">
        <f t="shared" si="3"/>
        <v>-7791601.982225121</v>
      </c>
      <c r="W32" s="87">
        <f t="shared" si="3"/>
        <v>-8103266.0615141261</v>
      </c>
      <c r="X32" s="87">
        <f t="shared" si="3"/>
        <v>-8427396.7039746903</v>
      </c>
    </row>
    <row r="33" spans="1:24" x14ac:dyDescent="0.25">
      <c r="A33" s="86" t="s">
        <v>45</v>
      </c>
      <c r="B33" s="85" t="s">
        <v>4</v>
      </c>
      <c r="E33" s="87">
        <f>-D10</f>
        <v>-400000</v>
      </c>
      <c r="F33" s="87">
        <f t="shared" ref="F33:X33" si="4">E33+E33*$D$17</f>
        <v>-416000</v>
      </c>
      <c r="G33" s="87">
        <f t="shared" si="4"/>
        <v>-432640</v>
      </c>
      <c r="H33" s="87">
        <f t="shared" si="4"/>
        <v>-449945.59999999998</v>
      </c>
      <c r="I33" s="87">
        <f t="shared" si="4"/>
        <v>-467943.424</v>
      </c>
      <c r="J33" s="87">
        <f t="shared" si="4"/>
        <v>-486661.16096000001</v>
      </c>
      <c r="K33" s="87">
        <f t="shared" si="4"/>
        <v>-506127.60739840002</v>
      </c>
      <c r="L33" s="87">
        <f t="shared" si="4"/>
        <v>-526372.71169433603</v>
      </c>
      <c r="M33" s="87">
        <f t="shared" si="4"/>
        <v>-547427.6201621095</v>
      </c>
      <c r="N33" s="87">
        <f t="shared" si="4"/>
        <v>-569324.72496859392</v>
      </c>
      <c r="O33" s="87">
        <f t="shared" si="4"/>
        <v>-592097.71396733762</v>
      </c>
      <c r="P33" s="87">
        <f t="shared" si="4"/>
        <v>-615781.6225260311</v>
      </c>
      <c r="Q33" s="87">
        <f t="shared" si="4"/>
        <v>-640412.88742707239</v>
      </c>
      <c r="R33" s="87">
        <f t="shared" si="4"/>
        <v>-666029.40292415523</v>
      </c>
      <c r="S33" s="87">
        <f t="shared" si="4"/>
        <v>-692670.57904112141</v>
      </c>
      <c r="T33" s="87">
        <f t="shared" si="4"/>
        <v>-720377.40220276627</v>
      </c>
      <c r="U33" s="87">
        <f t="shared" si="4"/>
        <v>-749192.49829087697</v>
      </c>
      <c r="V33" s="87">
        <f t="shared" si="4"/>
        <v>-779160.19822251203</v>
      </c>
      <c r="W33" s="87">
        <f t="shared" si="4"/>
        <v>-810326.60615141247</v>
      </c>
      <c r="X33" s="87">
        <f t="shared" si="4"/>
        <v>-842739.67039746896</v>
      </c>
    </row>
    <row r="34" spans="1:24" x14ac:dyDescent="0.25">
      <c r="A34" s="86" t="s">
        <v>45</v>
      </c>
      <c r="B34" s="85" t="s">
        <v>44</v>
      </c>
      <c r="N34" s="87">
        <f>-D11</f>
        <v>-40000000</v>
      </c>
    </row>
    <row r="35" spans="1:24" x14ac:dyDescent="0.25">
      <c r="A35" s="86" t="s">
        <v>45</v>
      </c>
      <c r="B35" s="85" t="s">
        <v>54</v>
      </c>
      <c r="E35" s="87">
        <f>-D12</f>
        <v>-80000000</v>
      </c>
      <c r="F35" s="87">
        <f>E35</f>
        <v>-80000000</v>
      </c>
      <c r="G35" s="87">
        <f>F35</f>
        <v>-80000000</v>
      </c>
      <c r="H35" s="87">
        <f>G35</f>
        <v>-80000000</v>
      </c>
      <c r="I35" s="87">
        <f>H35</f>
        <v>-80000000</v>
      </c>
    </row>
    <row r="36" spans="1:24" x14ac:dyDescent="0.25">
      <c r="A36" s="86" t="s">
        <v>45</v>
      </c>
      <c r="B36" s="85" t="s">
        <v>172</v>
      </c>
      <c r="E36" s="87">
        <f>-$D$13/5</f>
        <v>-8000000</v>
      </c>
      <c r="F36" s="87">
        <f t="shared" ref="F36:I36" si="5">-$D$13/5</f>
        <v>-8000000</v>
      </c>
      <c r="G36" s="87">
        <f t="shared" si="5"/>
        <v>-8000000</v>
      </c>
      <c r="H36" s="87">
        <f t="shared" si="5"/>
        <v>-8000000</v>
      </c>
      <c r="I36" s="87">
        <f t="shared" si="5"/>
        <v>-8000000</v>
      </c>
    </row>
    <row r="37" spans="1:24" x14ac:dyDescent="0.25">
      <c r="A37" s="86" t="s">
        <v>45</v>
      </c>
      <c r="B37" s="85" t="s">
        <v>42</v>
      </c>
      <c r="E37" s="87">
        <f>-D22</f>
        <v>0</v>
      </c>
      <c r="F37" s="87">
        <f t="shared" ref="F37:N37" si="6">E37+E37*$D$17</f>
        <v>0</v>
      </c>
      <c r="G37" s="87">
        <f t="shared" si="6"/>
        <v>0</v>
      </c>
      <c r="H37" s="87">
        <f t="shared" si="6"/>
        <v>0</v>
      </c>
      <c r="I37" s="87">
        <f t="shared" si="6"/>
        <v>0</v>
      </c>
      <c r="J37" s="87">
        <f t="shared" si="6"/>
        <v>0</v>
      </c>
      <c r="K37" s="87">
        <f t="shared" si="6"/>
        <v>0</v>
      </c>
      <c r="L37" s="87">
        <f t="shared" si="6"/>
        <v>0</v>
      </c>
      <c r="M37" s="87">
        <f t="shared" si="6"/>
        <v>0</v>
      </c>
      <c r="N37" s="87">
        <f t="shared" si="6"/>
        <v>0</v>
      </c>
    </row>
    <row r="38" spans="1:24" x14ac:dyDescent="0.25">
      <c r="A38" s="86"/>
    </row>
    <row r="39" spans="1:24" x14ac:dyDescent="0.25">
      <c r="A39" s="86"/>
      <c r="B39" s="85" t="s">
        <v>57</v>
      </c>
      <c r="E39" s="87">
        <f>E27+E30+E32+E33+E34+E35+E37+E36</f>
        <v>-25240000</v>
      </c>
      <c r="F39" s="87">
        <f t="shared" ref="F39:X39" si="7">F27+F30+F32+F33+F34+F35+F37+F36</f>
        <v>-24092948</v>
      </c>
      <c r="G39" s="87">
        <f t="shared" si="7"/>
        <v>-22926871.875599995</v>
      </c>
      <c r="H39" s="87">
        <f t="shared" si="7"/>
        <v>-21741539.76354932</v>
      </c>
      <c r="I39" s="87">
        <f t="shared" si="7"/>
        <v>-20536720.949371219</v>
      </c>
      <c r="J39" s="87">
        <f t="shared" si="7"/>
        <v>68687813.881346956</v>
      </c>
      <c r="K39" s="87">
        <f t="shared" si="7"/>
        <v>69932292.377567127</v>
      </c>
      <c r="L39" s="87">
        <f t="shared" si="7"/>
        <v>71196940.242673144</v>
      </c>
      <c r="M39" s="87">
        <f t="shared" si="7"/>
        <v>72481980.938932449</v>
      </c>
      <c r="N39" s="87">
        <f t="shared" si="7"/>
        <v>33787635.375847206</v>
      </c>
      <c r="O39" s="87">
        <f t="shared" si="7"/>
        <v>75114121.581665933</v>
      </c>
      <c r="P39" s="87">
        <f t="shared" si="7"/>
        <v>76461654.357295826</v>
      </c>
      <c r="Q39" s="87">
        <f t="shared" si="7"/>
        <v>77830444.911824495</v>
      </c>
      <c r="R39" s="87">
        <f t="shared" si="7"/>
        <v>79220700.478824988</v>
      </c>
      <c r="S39" s="87">
        <f t="shared" si="7"/>
        <v>80632623.912584856</v>
      </c>
      <c r="T39" s="87">
        <f t="shared" si="7"/>
        <v>82066413.263362899</v>
      </c>
      <c r="U39" s="87">
        <f t="shared" si="7"/>
        <v>83522261.33073926</v>
      </c>
      <c r="V39" s="87">
        <f t="shared" si="7"/>
        <v>85000355.194086477</v>
      </c>
      <c r="W39" s="87">
        <f t="shared" si="7"/>
        <v>86500875.719146892</v>
      </c>
      <c r="X39" s="87">
        <f t="shared" si="7"/>
        <v>88023997.039660469</v>
      </c>
    </row>
    <row r="40" spans="1:24" x14ac:dyDescent="0.25">
      <c r="A40" s="86" t="s">
        <v>45</v>
      </c>
      <c r="B40" s="85" t="s">
        <v>55</v>
      </c>
      <c r="E40" s="87">
        <f>-E39*$D$20</f>
        <v>8329200</v>
      </c>
      <c r="F40" s="87">
        <f t="shared" ref="F40:I40" si="8">-F39*$D$20</f>
        <v>7950672.8400000008</v>
      </c>
      <c r="G40" s="87">
        <f t="shared" si="8"/>
        <v>7565867.7189479992</v>
      </c>
      <c r="H40" s="87">
        <f t="shared" si="8"/>
        <v>7174708.1219712757</v>
      </c>
      <c r="I40" s="87">
        <f t="shared" si="8"/>
        <v>6777117.9132925021</v>
      </c>
      <c r="J40" s="87">
        <f>-J39*$D$20</f>
        <v>-22666978.580844495</v>
      </c>
      <c r="K40" s="87">
        <f t="shared" ref="K40:X40" si="9">-K39*$D$20</f>
        <v>-23077656.484597154</v>
      </c>
      <c r="L40" s="87">
        <f t="shared" si="9"/>
        <v>-23494990.28008214</v>
      </c>
      <c r="M40" s="87">
        <f t="shared" si="9"/>
        <v>-23919053.709847711</v>
      </c>
      <c r="N40" s="87">
        <f t="shared" si="9"/>
        <v>-11149919.674029578</v>
      </c>
      <c r="O40" s="87">
        <f t="shared" si="9"/>
        <v>-24787660.121949758</v>
      </c>
      <c r="P40" s="87">
        <f t="shared" si="9"/>
        <v>-25232345.937907625</v>
      </c>
      <c r="Q40" s="87">
        <f t="shared" si="9"/>
        <v>-25684046.820902083</v>
      </c>
      <c r="R40" s="87">
        <f t="shared" si="9"/>
        <v>-26142831.158012249</v>
      </c>
      <c r="S40" s="87">
        <f t="shared" si="9"/>
        <v>-26608765.891153004</v>
      </c>
      <c r="T40" s="87">
        <f t="shared" si="9"/>
        <v>-27081916.376909759</v>
      </c>
      <c r="U40" s="87">
        <f t="shared" si="9"/>
        <v>-27562346.239143956</v>
      </c>
      <c r="V40" s="87">
        <f t="shared" si="9"/>
        <v>-28050117.214048538</v>
      </c>
      <c r="W40" s="87">
        <f t="shared" si="9"/>
        <v>-28545288.987318475</v>
      </c>
      <c r="X40" s="87">
        <f t="shared" si="9"/>
        <v>-29047919.023087956</v>
      </c>
    </row>
    <row r="41" spans="1:24" x14ac:dyDescent="0.25">
      <c r="A41" s="86"/>
    </row>
    <row r="42" spans="1:24" x14ac:dyDescent="0.25">
      <c r="A42" s="86"/>
      <c r="B42" s="85" t="s">
        <v>173</v>
      </c>
      <c r="E42" s="87">
        <f>E39+-E35+E40+-E36</f>
        <v>71089200</v>
      </c>
      <c r="F42" s="87">
        <f t="shared" ref="F42:X42" si="10">F39+-F35+F40+-F36</f>
        <v>71857724.840000004</v>
      </c>
      <c r="G42" s="87">
        <f t="shared" si="10"/>
        <v>72638995.843347996</v>
      </c>
      <c r="H42" s="87">
        <f t="shared" si="10"/>
        <v>73433168.358421952</v>
      </c>
      <c r="I42" s="87">
        <f t="shared" si="10"/>
        <v>74240396.963921279</v>
      </c>
      <c r="J42" s="87">
        <f t="shared" si="10"/>
        <v>46020835.300502464</v>
      </c>
      <c r="K42" s="87">
        <f t="shared" si="10"/>
        <v>46854635.892969973</v>
      </c>
      <c r="L42" s="87">
        <f t="shared" si="10"/>
        <v>47701949.962591007</v>
      </c>
      <c r="M42" s="87">
        <f t="shared" si="10"/>
        <v>48562927.229084738</v>
      </c>
      <c r="N42" s="87">
        <f t="shared" si="10"/>
        <v>22637715.701817628</v>
      </c>
      <c r="O42" s="87">
        <f t="shared" si="10"/>
        <v>50326461.459716171</v>
      </c>
      <c r="P42" s="87">
        <f t="shared" si="10"/>
        <v>51229308.419388205</v>
      </c>
      <c r="Q42" s="87">
        <f t="shared" si="10"/>
        <v>52146398.090922415</v>
      </c>
      <c r="R42" s="87">
        <f t="shared" si="10"/>
        <v>53077869.320812739</v>
      </c>
      <c r="S42" s="87">
        <f t="shared" si="10"/>
        <v>54023858.021431848</v>
      </c>
      <c r="T42" s="87">
        <f t="shared" si="10"/>
        <v>54984496.886453137</v>
      </c>
      <c r="U42" s="87">
        <f t="shared" si="10"/>
        <v>55959915.091595307</v>
      </c>
      <c r="V42" s="87">
        <f t="shared" si="10"/>
        <v>56950237.980037943</v>
      </c>
      <c r="W42" s="87">
        <f t="shared" si="10"/>
        <v>57955586.731828421</v>
      </c>
      <c r="X42" s="87">
        <f t="shared" si="10"/>
        <v>58976078.016572513</v>
      </c>
    </row>
    <row r="43" spans="1:24" x14ac:dyDescent="0.25">
      <c r="A43" s="86"/>
    </row>
    <row r="44" spans="1:24" x14ac:dyDescent="0.25">
      <c r="B44" s="85" t="s">
        <v>47</v>
      </c>
      <c r="D44" s="87">
        <f>D27+D30+D32+D33+D37</f>
        <v>-400000000</v>
      </c>
      <c r="E44" s="87">
        <f>E42</f>
        <v>71089200</v>
      </c>
      <c r="F44" s="87">
        <f t="shared" ref="F44:X44" si="11">F42</f>
        <v>71857724.840000004</v>
      </c>
      <c r="G44" s="87">
        <f t="shared" si="11"/>
        <v>72638995.843347996</v>
      </c>
      <c r="H44" s="87">
        <f t="shared" si="11"/>
        <v>73433168.358421952</v>
      </c>
      <c r="I44" s="87">
        <f t="shared" si="11"/>
        <v>74240396.963921279</v>
      </c>
      <c r="J44" s="87">
        <f t="shared" si="11"/>
        <v>46020835.300502464</v>
      </c>
      <c r="K44" s="87">
        <f t="shared" si="11"/>
        <v>46854635.892969973</v>
      </c>
      <c r="L44" s="87">
        <f t="shared" si="11"/>
        <v>47701949.962591007</v>
      </c>
      <c r="M44" s="87">
        <f t="shared" si="11"/>
        <v>48562927.229084738</v>
      </c>
      <c r="N44" s="87">
        <f t="shared" si="11"/>
        <v>22637715.701817628</v>
      </c>
      <c r="O44" s="87">
        <f t="shared" si="11"/>
        <v>50326461.459716171</v>
      </c>
      <c r="P44" s="87">
        <f t="shared" si="11"/>
        <v>51229308.419388205</v>
      </c>
      <c r="Q44" s="87">
        <f t="shared" si="11"/>
        <v>52146398.090922415</v>
      </c>
      <c r="R44" s="87">
        <f t="shared" si="11"/>
        <v>53077869.320812739</v>
      </c>
      <c r="S44" s="87">
        <f t="shared" si="11"/>
        <v>54023858.021431848</v>
      </c>
      <c r="T44" s="87">
        <f t="shared" si="11"/>
        <v>54984496.886453137</v>
      </c>
      <c r="U44" s="87">
        <f t="shared" si="11"/>
        <v>55959915.091595307</v>
      </c>
      <c r="V44" s="87">
        <f t="shared" si="11"/>
        <v>56950237.980037943</v>
      </c>
      <c r="W44" s="87">
        <f t="shared" si="11"/>
        <v>57955586.731828421</v>
      </c>
      <c r="X44" s="87">
        <f t="shared" si="11"/>
        <v>58976078.016572513</v>
      </c>
    </row>
    <row r="45" spans="1:24" x14ac:dyDescent="0.25">
      <c r="B45" s="85" t="s">
        <v>48</v>
      </c>
      <c r="D45" s="87">
        <f>D44</f>
        <v>-400000000</v>
      </c>
      <c r="E45" s="87">
        <f>D45+E44</f>
        <v>-328910800</v>
      </c>
      <c r="F45" s="87">
        <f t="shared" ref="F45:X45" si="12">E45+F44</f>
        <v>-257053075.16</v>
      </c>
      <c r="G45" s="87">
        <f t="shared" si="12"/>
        <v>-184414079.316652</v>
      </c>
      <c r="H45" s="87">
        <f t="shared" si="12"/>
        <v>-110980910.95823005</v>
      </c>
      <c r="I45" s="87">
        <f t="shared" si="12"/>
        <v>-36740513.99430877</v>
      </c>
      <c r="J45" s="87">
        <f t="shared" si="12"/>
        <v>9280321.3061936945</v>
      </c>
      <c r="K45" s="87">
        <f t="shared" si="12"/>
        <v>56134957.199163668</v>
      </c>
      <c r="L45" s="87">
        <f t="shared" si="12"/>
        <v>103836907.16175467</v>
      </c>
      <c r="M45" s="87">
        <f t="shared" si="12"/>
        <v>152399834.3908394</v>
      </c>
      <c r="N45" s="87">
        <f t="shared" si="12"/>
        <v>175037550.09265703</v>
      </c>
      <c r="O45" s="87">
        <f t="shared" si="12"/>
        <v>225364011.5523732</v>
      </c>
      <c r="P45" s="87">
        <f t="shared" si="12"/>
        <v>276593319.97176141</v>
      </c>
      <c r="Q45" s="87">
        <f t="shared" si="12"/>
        <v>328739718.06268382</v>
      </c>
      <c r="R45" s="87">
        <f t="shared" si="12"/>
        <v>381817587.38349658</v>
      </c>
      <c r="S45" s="87">
        <f t="shared" si="12"/>
        <v>435841445.40492845</v>
      </c>
      <c r="T45" s="87">
        <f t="shared" si="12"/>
        <v>490825942.2913816</v>
      </c>
      <c r="U45" s="87">
        <f t="shared" si="12"/>
        <v>546785857.38297689</v>
      </c>
      <c r="V45" s="87">
        <f t="shared" si="12"/>
        <v>603736095.36301482</v>
      </c>
      <c r="W45" s="87">
        <f t="shared" si="12"/>
        <v>661691682.09484327</v>
      </c>
      <c r="X45" s="87">
        <f t="shared" si="12"/>
        <v>720667760.11141574</v>
      </c>
    </row>
    <row r="47" spans="1:24" x14ac:dyDescent="0.25">
      <c r="B47" s="85" t="s">
        <v>52</v>
      </c>
      <c r="D47" s="88">
        <f>D44/(1+$D$19)^D26</f>
        <v>-400000000</v>
      </c>
      <c r="E47" s="88">
        <f>E44/(1+$D$19)^E26</f>
        <v>63472499.999999993</v>
      </c>
      <c r="F47" s="88">
        <f>F44/(1+$D$19)^F26</f>
        <v>57284538.29719387</v>
      </c>
      <c r="G47" s="88">
        <f t="shared" ref="G47:X47" si="13">G44/(1+$D$19)^G26</f>
        <v>51703002.462295562</v>
      </c>
      <c r="H47" s="88">
        <f t="shared" si="13"/>
        <v>46668106.04632277</v>
      </c>
      <c r="I47" s="88">
        <f t="shared" si="13"/>
        <v>42125995.016538493</v>
      </c>
      <c r="J47" s="88">
        <f t="shared" si="13"/>
        <v>23315587.385810379</v>
      </c>
      <c r="K47" s="88">
        <f t="shared" si="13"/>
        <v>21194657.781080812</v>
      </c>
      <c r="L47" s="88">
        <f t="shared" si="13"/>
        <v>19266017.531801604</v>
      </c>
      <c r="M47" s="88">
        <f t="shared" si="13"/>
        <v>17512278.401258878</v>
      </c>
      <c r="N47" s="88">
        <f t="shared" si="13"/>
        <v>7288738.5935342414</v>
      </c>
      <c r="O47" s="88">
        <f t="shared" si="13"/>
        <v>14467655.073519407</v>
      </c>
      <c r="P47" s="88">
        <f t="shared" si="13"/>
        <v>13149287.500074467</v>
      </c>
      <c r="Q47" s="88">
        <f t="shared" si="13"/>
        <v>11950608.550673896</v>
      </c>
      <c r="R47" s="88">
        <f t="shared" si="13"/>
        <v>10860783.674476098</v>
      </c>
      <c r="S47" s="88">
        <f t="shared" si="13"/>
        <v>9869956.8795835208</v>
      </c>
      <c r="T47" s="88">
        <f t="shared" si="13"/>
        <v>8969162.5077214222</v>
      </c>
      <c r="U47" s="88">
        <f t="shared" si="13"/>
        <v>8150244.9520858591</v>
      </c>
      <c r="V47" s="88">
        <f t="shared" si="13"/>
        <v>7405785.6040020082</v>
      </c>
      <c r="W47" s="88">
        <f t="shared" si="13"/>
        <v>6729036.3782229424</v>
      </c>
      <c r="X47" s="88">
        <f t="shared" si="13"/>
        <v>6113859.2251243684</v>
      </c>
    </row>
    <row r="48" spans="1:24" x14ac:dyDescent="0.25">
      <c r="B48" s="85" t="s">
        <v>51</v>
      </c>
      <c r="D48" s="88">
        <f>D47</f>
        <v>-400000000</v>
      </c>
      <c r="E48" s="87">
        <f>D48+E47</f>
        <v>-336527500</v>
      </c>
      <c r="F48" s="87">
        <f t="shared" ref="F48:X48" si="14">E48+F47</f>
        <v>-279242961.70280612</v>
      </c>
      <c r="G48" s="87">
        <f t="shared" si="14"/>
        <v>-227539959.24051055</v>
      </c>
      <c r="H48" s="87">
        <f t="shared" si="14"/>
        <v>-180871853.19418779</v>
      </c>
      <c r="I48" s="87">
        <f t="shared" si="14"/>
        <v>-138745858.17764929</v>
      </c>
      <c r="J48" s="87">
        <f t="shared" si="14"/>
        <v>-115430270.79183891</v>
      </c>
      <c r="K48" s="87">
        <f t="shared" si="14"/>
        <v>-94235613.010758102</v>
      </c>
      <c r="L48" s="87">
        <f t="shared" si="14"/>
        <v>-74969595.478956491</v>
      </c>
      <c r="M48" s="87">
        <f t="shared" si="14"/>
        <v>-57457317.077697612</v>
      </c>
      <c r="N48" s="87">
        <f t="shared" si="14"/>
        <v>-50168578.484163374</v>
      </c>
      <c r="O48" s="87">
        <f t="shared" si="14"/>
        <v>-35700923.410643965</v>
      </c>
      <c r="P48" s="87">
        <f t="shared" si="14"/>
        <v>-22551635.910569496</v>
      </c>
      <c r="Q48" s="87">
        <f t="shared" si="14"/>
        <v>-10601027.3598956</v>
      </c>
      <c r="R48" s="87">
        <f t="shared" si="14"/>
        <v>259756.31458049826</v>
      </c>
      <c r="S48" s="87">
        <f t="shared" si="14"/>
        <v>10129713.194164019</v>
      </c>
      <c r="T48" s="87">
        <f t="shared" si="14"/>
        <v>19098875.701885439</v>
      </c>
      <c r="U48" s="87">
        <f t="shared" si="14"/>
        <v>27249120.6539713</v>
      </c>
      <c r="V48" s="87">
        <f t="shared" si="14"/>
        <v>34654906.257973306</v>
      </c>
      <c r="W48" s="87">
        <f t="shared" si="14"/>
        <v>41383942.636196248</v>
      </c>
      <c r="X48" s="87">
        <f t="shared" si="14"/>
        <v>47497801.861320615</v>
      </c>
    </row>
    <row r="50" spans="2:6" x14ac:dyDescent="0.25">
      <c r="B50" s="85" t="s">
        <v>53</v>
      </c>
      <c r="D50" s="87">
        <f>D44+NPV(D19,E44:X44)</f>
        <v>47497801.861320436</v>
      </c>
    </row>
    <row r="51" spans="2:6" x14ac:dyDescent="0.25">
      <c r="B51" s="85" t="s">
        <v>58</v>
      </c>
      <c r="D51" s="87">
        <f>NPV(D19,E44:X44)</f>
        <v>447497801.86132044</v>
      </c>
    </row>
    <row r="52" spans="2:6" x14ac:dyDescent="0.25">
      <c r="B52" s="85" t="s">
        <v>59</v>
      </c>
      <c r="D52" s="2">
        <f>IRR(D44:X44)</f>
        <v>0.14073552024788571</v>
      </c>
    </row>
    <row r="58" spans="2:6" x14ac:dyDescent="0.25">
      <c r="F58" s="87" t="s">
        <v>49</v>
      </c>
    </row>
  </sheetData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CAPEX</vt:lpstr>
      <vt:lpstr>Flujo de Caja Proyecto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Saturn</dc:creator>
  <cp:lastModifiedBy>Andres Rios Erco</cp:lastModifiedBy>
  <dcterms:created xsi:type="dcterms:W3CDTF">2018-10-29T23:44:49Z</dcterms:created>
  <dcterms:modified xsi:type="dcterms:W3CDTF">2020-02-29T23:31:30Z</dcterms:modified>
</cp:coreProperties>
</file>